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Sucrivoire\Analytique\"/>
    </mc:Choice>
  </mc:AlternateContent>
  <xr:revisionPtr revIDLastSave="0" documentId="13_ncr:1_{8FD06ED1-6465-44E8-A449-B458EF58ED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ynthèse données &amp; ratios" sheetId="14" r:id="rId1"/>
    <sheet name="Indicateurs op" sheetId="24" state="hidden" r:id="rId2"/>
  </sheets>
  <externalReferences>
    <externalReference r:id="rId3"/>
  </externalReferences>
  <definedNames>
    <definedName name="crossborder">[1]CBI!#REF!</definedName>
    <definedName name="global">[1]CBI!#REF!</definedName>
    <definedName name="moodynum">[1]CBI!#REF!</definedName>
    <definedName name="stats_1">[1]CBI!#REF!</definedName>
    <definedName name="stats_2">[1]CBI!#REF!</definedName>
  </definedNames>
  <calcPr calcId="191029"/>
</workbook>
</file>

<file path=xl/calcChain.xml><?xml version="1.0" encoding="utf-8"?>
<calcChain xmlns="http://schemas.openxmlformats.org/spreadsheetml/2006/main">
  <c r="D70" i="24" l="1"/>
  <c r="D71" i="24"/>
  <c r="D72" i="24"/>
  <c r="D73" i="24"/>
  <c r="C71" i="24"/>
  <c r="C72" i="24"/>
  <c r="C73" i="24"/>
  <c r="C70" i="24"/>
  <c r="E62" i="24"/>
  <c r="E71" i="24" s="1"/>
  <c r="E63" i="24"/>
  <c r="E72" i="24" s="1"/>
  <c r="E64" i="24"/>
  <c r="E73" i="24" s="1"/>
  <c r="E61" i="24"/>
  <c r="E70" i="24" s="1"/>
  <c r="L54" i="24"/>
  <c r="L53" i="24"/>
  <c r="L52" i="24"/>
  <c r="L51" i="24"/>
  <c r="E52" i="24"/>
  <c r="E53" i="24"/>
  <c r="E54" i="24"/>
  <c r="E51" i="24"/>
  <c r="L33" i="24" l="1"/>
  <c r="L32" i="24"/>
  <c r="L31" i="24"/>
  <c r="L30" i="24"/>
  <c r="L29" i="24"/>
  <c r="L28" i="24"/>
  <c r="E33" i="24"/>
  <c r="E32" i="24"/>
  <c r="E31" i="24"/>
  <c r="E30" i="24"/>
  <c r="E29" i="24"/>
  <c r="E28" i="24"/>
  <c r="E9" i="24"/>
  <c r="E10" i="24"/>
  <c r="E11" i="24"/>
  <c r="E12" i="24"/>
  <c r="E13" i="24"/>
  <c r="E8" i="24"/>
  <c r="D56" i="14" l="1"/>
  <c r="D57" i="14"/>
  <c r="D58" i="14"/>
  <c r="D61" i="14"/>
  <c r="D50" i="14"/>
  <c r="D6" i="14"/>
  <c r="D7" i="14"/>
  <c r="D8" i="14"/>
  <c r="D11" i="14"/>
  <c r="D12" i="14"/>
  <c r="D13" i="14"/>
  <c r="D14" i="14"/>
  <c r="D18" i="14"/>
  <c r="D19" i="14"/>
  <c r="D67" i="14"/>
  <c r="D70" i="14"/>
  <c r="D69" i="14"/>
  <c r="D68" i="14"/>
  <c r="D66" i="14"/>
  <c r="D65" i="14"/>
  <c r="D23" i="14"/>
  <c r="D24" i="14"/>
  <c r="D31" i="14"/>
  <c r="D30" i="14"/>
  <c r="D35" i="14"/>
  <c r="D84" i="14"/>
  <c r="D86" i="14" s="1"/>
  <c r="C56" i="14"/>
  <c r="C57" i="14"/>
  <c r="C58" i="14"/>
  <c r="C61" i="14"/>
  <c r="C84" i="14"/>
  <c r="C50" i="14"/>
  <c r="C46" i="14"/>
  <c r="C70" i="14"/>
  <c r="C69" i="14"/>
  <c r="C68" i="14"/>
  <c r="C67" i="14"/>
  <c r="C66" i="14"/>
  <c r="C65" i="14"/>
  <c r="D39" i="14"/>
  <c r="D62" i="14"/>
  <c r="C53" i="14"/>
  <c r="D53" i="14"/>
  <c r="C51" i="14"/>
  <c r="D51" i="14"/>
  <c r="C48" i="14"/>
  <c r="D48" i="14"/>
  <c r="D5" i="14"/>
  <c r="D64" i="14"/>
  <c r="C64" i="14"/>
  <c r="D71" i="14"/>
  <c r="C52" i="14"/>
  <c r="C47" i="14"/>
  <c r="C49" i="14"/>
  <c r="D52" i="14"/>
  <c r="D47" i="14"/>
  <c r="D49" i="14"/>
  <c r="D28" i="14" l="1"/>
  <c r="D29" i="14"/>
  <c r="C54" i="14"/>
  <c r="C71" i="14"/>
  <c r="C62" i="14"/>
  <c r="D46" i="14"/>
  <c r="D54" i="14" s="1"/>
  <c r="D147" i="14" s="1"/>
  <c r="D89" i="14"/>
  <c r="D159" i="14"/>
  <c r="D154" i="14"/>
  <c r="D157" i="14"/>
  <c r="D9" i="14"/>
  <c r="D160" i="14"/>
  <c r="D158" i="14"/>
  <c r="D151" i="14" l="1"/>
  <c r="D155" i="14"/>
  <c r="C89" i="14"/>
  <c r="D15" i="14"/>
  <c r="D59" i="14" l="1"/>
  <c r="D20" i="14"/>
  <c r="D16" i="14"/>
  <c r="C59" i="14" l="1"/>
  <c r="C60" i="14" s="1"/>
  <c r="C63" i="14" s="1"/>
  <c r="C72" i="14" s="1"/>
  <c r="D25" i="14"/>
  <c r="D164" i="14"/>
  <c r="D21" i="14"/>
  <c r="D165" i="14"/>
  <c r="D60" i="14"/>
  <c r="D63" i="14" l="1"/>
  <c r="D32" i="14"/>
  <c r="D26" i="14"/>
  <c r="D36" i="14" l="1"/>
  <c r="D41" i="14"/>
  <c r="D33" i="14"/>
  <c r="D156" i="14"/>
  <c r="D72" i="14"/>
  <c r="D163" i="14"/>
  <c r="D148" i="14"/>
  <c r="D146" i="14" l="1"/>
  <c r="D149" i="14"/>
  <c r="D150" i="14"/>
  <c r="D40" i="14"/>
  <c r="D37" i="14"/>
</calcChain>
</file>

<file path=xl/sharedStrings.xml><?xml version="1.0" encoding="utf-8"?>
<sst xmlns="http://schemas.openxmlformats.org/spreadsheetml/2006/main" count="375" uniqueCount="131">
  <si>
    <t>Charges immobilisées</t>
  </si>
  <si>
    <t>Immobilisations incorporelles</t>
  </si>
  <si>
    <t>Immobilisations corporelles</t>
  </si>
  <si>
    <t>Immobilisations financières</t>
  </si>
  <si>
    <t>Stocks</t>
  </si>
  <si>
    <t>Créances et emplois assimilés</t>
  </si>
  <si>
    <t>Capital</t>
  </si>
  <si>
    <t>Report à nouveau</t>
  </si>
  <si>
    <t>Clients, avances reçues</t>
  </si>
  <si>
    <t>Fournisseurs d'exploitation</t>
  </si>
  <si>
    <t>Dettes fiscales</t>
  </si>
  <si>
    <t>Dettes sociales</t>
  </si>
  <si>
    <t>Autres dettes</t>
  </si>
  <si>
    <t>Achats de marchandises</t>
  </si>
  <si>
    <t>Transports</t>
  </si>
  <si>
    <t>Services extérieurs</t>
  </si>
  <si>
    <t>Impôts et taxes</t>
  </si>
  <si>
    <t>Autres charges</t>
  </si>
  <si>
    <t>Dotations aux amortissements et aux provisions</t>
  </si>
  <si>
    <t>Charges de personnel</t>
  </si>
  <si>
    <t>Production immobilisée</t>
  </si>
  <si>
    <t>Autres produits</t>
  </si>
  <si>
    <t>Reprises de provisions</t>
  </si>
  <si>
    <t>RESULTAT D'EXPLOITATION</t>
  </si>
  <si>
    <t>TOTAL ACTIF</t>
  </si>
  <si>
    <t>TOTAL PASSIF</t>
  </si>
  <si>
    <t>Actif circulant H.A.O</t>
  </si>
  <si>
    <t>Dettes circulantes et ressources assimilées H.A.O</t>
  </si>
  <si>
    <t>% CA</t>
  </si>
  <si>
    <t>VALEUR AJOUTEE</t>
  </si>
  <si>
    <t>PRODUITS D'EXPLOITATION</t>
  </si>
  <si>
    <t>EXCEDENT BRUT D'EXPLOITATION (EBE)</t>
  </si>
  <si>
    <t>Résultat financier</t>
  </si>
  <si>
    <t>Impôt sur le résultat</t>
  </si>
  <si>
    <t>Chiffre d'affaires (CA)</t>
  </si>
  <si>
    <t>Résultat hors activités ordinaires (H.A.O)</t>
  </si>
  <si>
    <t>Trésorerie - Actif</t>
  </si>
  <si>
    <t>Dettes financières</t>
  </si>
  <si>
    <t>Trésorerie - Passif</t>
  </si>
  <si>
    <t>TAUX DE CROISSANCE - BILAN (en %)</t>
  </si>
  <si>
    <t>BILAN (en millions de FCFA)</t>
  </si>
  <si>
    <t>INFORMATIONS COMPLEMENTAIRES (en millions de FCFA)</t>
  </si>
  <si>
    <t>Rentabilité</t>
  </si>
  <si>
    <t>Liquidité</t>
  </si>
  <si>
    <t>Flexibilité financière</t>
  </si>
  <si>
    <t>Notes</t>
  </si>
  <si>
    <t>(2) Dette financière nette =  Dette financière + trésorerie passif - trésorerie actif</t>
  </si>
  <si>
    <t>CA = Chiffre d'affaires</t>
  </si>
  <si>
    <t>Rotation des stocks (en nombre de fois / an)</t>
  </si>
  <si>
    <t>Couverture des stocks (en jours d'achats)</t>
  </si>
  <si>
    <t>(3) Taux de TVA utilisé 20%</t>
  </si>
  <si>
    <t>Marge de profit (RN/CA) en %</t>
  </si>
  <si>
    <t>Rotation des actifs (CA/TA) en %</t>
  </si>
  <si>
    <t>Levier financier (TA/FP) en %</t>
  </si>
  <si>
    <t>Retour sur fonds propres (RN/FP) en %</t>
  </si>
  <si>
    <t>ROA (RN/TA) en %</t>
  </si>
  <si>
    <t>Charges d'exploitation/Produits d'exploitation en %</t>
  </si>
  <si>
    <t>Ratio de liquidité générale (AC/PC) en %</t>
  </si>
  <si>
    <t>Ratio de liquidité de l'actif (AC/TA) en %</t>
  </si>
  <si>
    <t>(1) FCF = CAF +/- Variation de BFR - Investissements, ce sont les flux opérationnel libres de tout engagement opérationnel</t>
  </si>
  <si>
    <t>RATIOS</t>
  </si>
  <si>
    <t>Impôts différés</t>
  </si>
  <si>
    <t>Part des minoritaires</t>
  </si>
  <si>
    <t>Charges immobiliséés</t>
  </si>
  <si>
    <t>Impôt différés</t>
  </si>
  <si>
    <t>Parts des minoritaires</t>
  </si>
  <si>
    <t>RESULTAT NET DE L'ENSEMBLE CONSOLIDE</t>
  </si>
  <si>
    <t>Parts de l'entreprise consolidante</t>
  </si>
  <si>
    <t>Primes et réserves consolidées</t>
  </si>
  <si>
    <t>Dette financière nette (2)</t>
  </si>
  <si>
    <r>
      <t xml:space="preserve">Délais clients (en jours de CA) </t>
    </r>
    <r>
      <rPr>
        <sz val="12"/>
        <color indexed="23"/>
        <rFont val="Garamond"/>
        <family val="1"/>
      </rPr>
      <t>(3)</t>
    </r>
  </si>
  <si>
    <r>
      <t xml:space="preserve">Délais fournisseurs (en jours de CA) </t>
    </r>
    <r>
      <rPr>
        <sz val="12"/>
        <color indexed="23"/>
        <rFont val="Garamond"/>
        <family val="1"/>
      </rPr>
      <t>(3)</t>
    </r>
  </si>
  <si>
    <t>Production stockée</t>
  </si>
  <si>
    <t>Résultat net (part du groupe)</t>
  </si>
  <si>
    <t>Variation de BFR</t>
  </si>
  <si>
    <t>Investissements</t>
  </si>
  <si>
    <t>Remboursements d'emprunts</t>
  </si>
  <si>
    <t>Nouveaux emprunts</t>
  </si>
  <si>
    <t>Augmentation de capital / Subvention</t>
  </si>
  <si>
    <t>Distribution de dividendes</t>
  </si>
  <si>
    <t>Variation de trésorerie</t>
  </si>
  <si>
    <t>Trésorerie nette d'ouverture</t>
  </si>
  <si>
    <t>N/A</t>
  </si>
  <si>
    <t>Trésorerie nette de clôture</t>
  </si>
  <si>
    <t>COMPTE DE RESULTATS (en millions de FCFA)</t>
  </si>
  <si>
    <t>Quote-part des sociétés mises en équivalence</t>
  </si>
  <si>
    <t>Total des capitaux propres</t>
  </si>
  <si>
    <t>Capacité d'auto-financement globale (CAFG)</t>
  </si>
  <si>
    <t>TAUX DE CROISSANCE - COMPTE DE RESULTATS (en %)</t>
  </si>
  <si>
    <t>Résultat net part de l'entreprise consolidante</t>
  </si>
  <si>
    <t>Résultat net (part du Groupe)</t>
  </si>
  <si>
    <t>RESULTAT NET, PART DU GROUPE</t>
  </si>
  <si>
    <t>RESULTAT NET CONSOLIDE GLOBAL</t>
  </si>
  <si>
    <t>Gearing (Dettes financières+trésorerie passif)/FP en %</t>
  </si>
  <si>
    <t>CAF = Capacité d'auto-financement</t>
  </si>
  <si>
    <t>RN = Résultat net</t>
  </si>
  <si>
    <t>TA = Total actif</t>
  </si>
  <si>
    <t>FP = Fonds propres</t>
  </si>
  <si>
    <t>AC = Actif circulant</t>
  </si>
  <si>
    <t>PC = Passif circulant</t>
  </si>
  <si>
    <t>Subventions d'investissement</t>
  </si>
  <si>
    <t>(RLT + FP) / Actif  Immobilisé en %</t>
  </si>
  <si>
    <t>Couverture des charges d'intérêt (EBE/intérêts financiers) (en x)</t>
  </si>
  <si>
    <t>(Dettes financières+trésorerie passif)/EBE (en x)</t>
  </si>
  <si>
    <t>Superficie sous cannes Plantations Industrielles</t>
  </si>
  <si>
    <t>2014/2015</t>
  </si>
  <si>
    <t>2015/2016</t>
  </si>
  <si>
    <t>2016/2017</t>
  </si>
  <si>
    <t>2017/2018</t>
  </si>
  <si>
    <t>2018/2019</t>
  </si>
  <si>
    <t>2019/2020</t>
  </si>
  <si>
    <t>BOROTOU</t>
  </si>
  <si>
    <t>ZUENOULA</t>
  </si>
  <si>
    <t>Ha</t>
  </si>
  <si>
    <t>TOTAL</t>
  </si>
  <si>
    <t>Superficie récoltées Plantations Industrielles</t>
  </si>
  <si>
    <t>Irriguées</t>
  </si>
  <si>
    <t>Non Irriguées</t>
  </si>
  <si>
    <t>Production canne Plantations Industrielles</t>
  </si>
  <si>
    <t>Production Sucre</t>
  </si>
  <si>
    <t>Rendement des Parcelles Villageois</t>
  </si>
  <si>
    <t>Rendement des Parcelles Industrielles</t>
  </si>
  <si>
    <t>T/ha</t>
  </si>
  <si>
    <t>ha</t>
  </si>
  <si>
    <t>Superficie récoltées Plantations Villages</t>
  </si>
  <si>
    <t>T</t>
  </si>
  <si>
    <t>Production canne Plantations Villages</t>
  </si>
  <si>
    <t>Dont Superficie Irriguées</t>
  </si>
  <si>
    <t xml:space="preserve">Rendement Sucre/Canne </t>
  </si>
  <si>
    <t>%</t>
  </si>
  <si>
    <t>SUCRIVOIRE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</si>
</sst>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_-* #,##0.00\ _F_-;\-* #,##0.00\ _F_-;_-* &quot;-&quot;??\ _F_-;_-@_-"/>
    <numFmt numFmtId="167" formatCode="0.0"/>
    <numFmt numFmtId="170" formatCode="#,##0.0\x\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color indexed="23"/>
      <name val="Garamond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Garamond"/>
      <family val="1"/>
    </font>
    <font>
      <sz val="12"/>
      <color theme="1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i/>
      <sz val="12"/>
      <color rgb="FFFF0000"/>
      <name val="Garamond"/>
      <family val="1"/>
    </font>
    <font>
      <sz val="8"/>
      <name val="Arial"/>
      <family val="2"/>
    </font>
    <font>
      <sz val="12"/>
      <color rgb="FFFF0000"/>
      <name val="Garamond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C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</cellStyleXfs>
  <cellXfs count="142">
    <xf numFmtId="0" fontId="0" fillId="0" borderId="0" xfId="0"/>
    <xf numFmtId="0" fontId="8" fillId="0" borderId="0" xfId="0" applyFont="1"/>
    <xf numFmtId="0" fontId="9" fillId="2" borderId="3" xfId="0" applyFont="1" applyFill="1" applyBorder="1"/>
    <xf numFmtId="14" fontId="10" fillId="2" borderId="1" xfId="0" applyNumberFormat="1" applyFont="1" applyFill="1" applyBorder="1"/>
    <xf numFmtId="0" fontId="11" fillId="0" borderId="0" xfId="0" applyFont="1"/>
    <xf numFmtId="0" fontId="8" fillId="0" borderId="5" xfId="0" applyFont="1" applyBorder="1"/>
    <xf numFmtId="3" fontId="8" fillId="0" borderId="0" xfId="0" applyNumberFormat="1" applyFont="1" applyBorder="1"/>
    <xf numFmtId="0" fontId="8" fillId="0" borderId="5" xfId="0" applyFont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3" fontId="11" fillId="3" borderId="0" xfId="0" applyNumberFormat="1" applyFont="1" applyFill="1" applyBorder="1"/>
    <xf numFmtId="0" fontId="11" fillId="3" borderId="3" xfId="0" applyFont="1" applyFill="1" applyBorder="1"/>
    <xf numFmtId="3" fontId="11" fillId="3" borderId="1" xfId="0" applyNumberFormat="1" applyFont="1" applyFill="1" applyBorder="1"/>
    <xf numFmtId="0" fontId="12" fillId="0" borderId="0" xfId="0" applyFont="1"/>
    <xf numFmtId="3" fontId="8" fillId="0" borderId="0" xfId="0" applyNumberFormat="1" applyFont="1" applyFill="1" applyBorder="1"/>
    <xf numFmtId="3" fontId="8" fillId="0" borderId="6" xfId="0" applyNumberFormat="1" applyFont="1" applyFill="1" applyBorder="1"/>
    <xf numFmtId="0" fontId="8" fillId="0" borderId="0" xfId="0" applyFont="1" applyBorder="1"/>
    <xf numFmtId="0" fontId="11" fillId="3" borderId="8" xfId="0" applyFont="1" applyFill="1" applyBorder="1"/>
    <xf numFmtId="3" fontId="11" fillId="3" borderId="9" xfId="0" applyNumberFormat="1" applyFont="1" applyFill="1" applyBorder="1"/>
    <xf numFmtId="0" fontId="4" fillId="3" borderId="12" xfId="0" applyFont="1" applyFill="1" applyBorder="1"/>
    <xf numFmtId="165" fontId="11" fillId="3" borderId="0" xfId="0" applyNumberFormat="1" applyFont="1" applyFill="1" applyBorder="1"/>
    <xf numFmtId="0" fontId="8" fillId="0" borderId="5" xfId="0" applyFont="1" applyFill="1" applyBorder="1"/>
    <xf numFmtId="0" fontId="11" fillId="3" borderId="12" xfId="0" applyFont="1" applyFill="1" applyBorder="1"/>
    <xf numFmtId="165" fontId="11" fillId="3" borderId="2" xfId="0" applyNumberFormat="1" applyFont="1" applyFill="1" applyBorder="1"/>
    <xf numFmtId="0" fontId="11" fillId="3" borderId="8" xfId="0" applyFont="1" applyFill="1" applyBorder="1" applyAlignment="1">
      <alignment horizontal="left"/>
    </xf>
    <xf numFmtId="165" fontId="11" fillId="3" borderId="9" xfId="0" applyNumberFormat="1" applyFont="1" applyFill="1" applyBorder="1"/>
    <xf numFmtId="0" fontId="11" fillId="3" borderId="5" xfId="0" applyFont="1" applyFill="1" applyBorder="1"/>
    <xf numFmtId="0" fontId="8" fillId="0" borderId="12" xfId="0" applyFont="1" applyBorder="1"/>
    <xf numFmtId="0" fontId="8" fillId="3" borderId="3" xfId="0" applyFont="1" applyFill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 applyBorder="1"/>
    <xf numFmtId="0" fontId="8" fillId="3" borderId="12" xfId="0" applyFont="1" applyFill="1" applyBorder="1"/>
    <xf numFmtId="0" fontId="8" fillId="3" borderId="2" xfId="0" applyFont="1" applyFill="1" applyBorder="1"/>
    <xf numFmtId="165" fontId="8" fillId="3" borderId="1" xfId="0" applyNumberFormat="1" applyFont="1" applyFill="1" applyBorder="1"/>
    <xf numFmtId="0" fontId="11" fillId="0" borderId="5" xfId="0" applyFont="1" applyBorder="1" applyAlignment="1">
      <alignment horizontal="left"/>
    </xf>
    <xf numFmtId="3" fontId="11" fillId="3" borderId="2" xfId="0" applyNumberFormat="1" applyFont="1" applyFill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11" fillId="0" borderId="13" xfId="0" applyNumberFormat="1" applyFont="1" applyBorder="1"/>
    <xf numFmtId="3" fontId="8" fillId="0" borderId="15" xfId="0" applyNumberFormat="1" applyFont="1" applyBorder="1"/>
    <xf numFmtId="3" fontId="8" fillId="0" borderId="11" xfId="0" applyNumberFormat="1" applyFont="1" applyFill="1" applyBorder="1"/>
    <xf numFmtId="3" fontId="8" fillId="0" borderId="13" xfId="0" applyNumberFormat="1" applyFont="1" applyFill="1" applyBorder="1"/>
    <xf numFmtId="3" fontId="8" fillId="0" borderId="14" xfId="0" applyNumberFormat="1" applyFont="1" applyFill="1" applyBorder="1"/>
    <xf numFmtId="0" fontId="11" fillId="0" borderId="5" xfId="0" applyFont="1" applyBorder="1" applyAlignment="1">
      <alignment horizontal="left" indent="1"/>
    </xf>
    <xf numFmtId="0" fontId="8" fillId="0" borderId="5" xfId="0" applyFont="1" applyBorder="1" applyAlignment="1">
      <alignment horizontal="left" indent="1"/>
    </xf>
    <xf numFmtId="0" fontId="8" fillId="0" borderId="16" xfId="0" applyFont="1" applyBorder="1" applyAlignment="1">
      <alignment horizontal="left"/>
    </xf>
    <xf numFmtId="0" fontId="8" fillId="0" borderId="12" xfId="0" applyFont="1" applyFill="1" applyBorder="1"/>
    <xf numFmtId="0" fontId="11" fillId="5" borderId="3" xfId="0" applyFont="1" applyFill="1" applyBorder="1"/>
    <xf numFmtId="3" fontId="11" fillId="5" borderId="1" xfId="0" applyNumberFormat="1" applyFont="1" applyFill="1" applyBorder="1"/>
    <xf numFmtId="0" fontId="8" fillId="0" borderId="3" xfId="0" applyFont="1" applyBorder="1"/>
    <xf numFmtId="3" fontId="8" fillId="0" borderId="1" xfId="0" applyNumberFormat="1" applyFont="1" applyBorder="1"/>
    <xf numFmtId="3" fontId="11" fillId="0" borderId="11" xfId="0" applyNumberFormat="1" applyFont="1" applyFill="1" applyBorder="1"/>
    <xf numFmtId="3" fontId="11" fillId="0" borderId="18" xfId="0" applyNumberFormat="1" applyFont="1" applyFill="1" applyBorder="1"/>
    <xf numFmtId="165" fontId="8" fillId="0" borderId="11" xfId="0" applyNumberFormat="1" applyFont="1" applyBorder="1"/>
    <xf numFmtId="165" fontId="8" fillId="0" borderId="13" xfId="0" applyNumberFormat="1" applyFont="1" applyBorder="1" applyAlignment="1">
      <alignment horizontal="right"/>
    </xf>
    <xf numFmtId="165" fontId="8" fillId="0" borderId="13" xfId="0" applyNumberFormat="1" applyFont="1" applyBorder="1"/>
    <xf numFmtId="165" fontId="8" fillId="0" borderId="18" xfId="0" applyNumberFormat="1" applyFont="1" applyBorder="1"/>
    <xf numFmtId="165" fontId="8" fillId="0" borderId="14" xfId="0" applyNumberFormat="1" applyFont="1" applyBorder="1"/>
    <xf numFmtId="165" fontId="8" fillId="0" borderId="11" xfId="0" applyNumberFormat="1" applyFont="1" applyBorder="1" applyAlignment="1">
      <alignment horizontal="right"/>
    </xf>
    <xf numFmtId="165" fontId="8" fillId="0" borderId="17" xfId="0" applyNumberFormat="1" applyFont="1" applyBorder="1"/>
    <xf numFmtId="165" fontId="8" fillId="4" borderId="11" xfId="0" applyNumberFormat="1" applyFont="1" applyFill="1" applyBorder="1"/>
    <xf numFmtId="167" fontId="8" fillId="0" borderId="13" xfId="4" applyNumberFormat="1" applyFont="1" applyFill="1" applyBorder="1"/>
    <xf numFmtId="165" fontId="8" fillId="4" borderId="13" xfId="0" applyNumberFormat="1" applyFont="1" applyFill="1" applyBorder="1"/>
    <xf numFmtId="0" fontId="8" fillId="6" borderId="5" xfId="0" applyFont="1" applyFill="1" applyBorder="1" applyAlignment="1">
      <alignment horizontal="left"/>
    </xf>
    <xf numFmtId="165" fontId="8" fillId="6" borderId="0" xfId="0" applyNumberFormat="1" applyFont="1" applyFill="1" applyBorder="1"/>
    <xf numFmtId="165" fontId="8" fillId="4" borderId="14" xfId="0" applyNumberFormat="1" applyFont="1" applyFill="1" applyBorder="1"/>
    <xf numFmtId="165" fontId="11" fillId="3" borderId="9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7" fillId="3" borderId="5" xfId="0" applyFont="1" applyFill="1" applyBorder="1"/>
    <xf numFmtId="164" fontId="7" fillId="3" borderId="0" xfId="4" applyNumberFormat="1" applyFont="1" applyFill="1" applyBorder="1"/>
    <xf numFmtId="0" fontId="7" fillId="5" borderId="5" xfId="0" applyFont="1" applyFill="1" applyBorder="1"/>
    <xf numFmtId="164" fontId="7" fillId="5" borderId="0" xfId="4" applyNumberFormat="1" applyFont="1" applyFill="1" applyBorder="1"/>
    <xf numFmtId="0" fontId="7" fillId="3" borderId="12" xfId="0" applyFont="1" applyFill="1" applyBorder="1"/>
    <xf numFmtId="164" fontId="7" fillId="3" borderId="2" xfId="4" applyNumberFormat="1" applyFont="1" applyFill="1" applyBorder="1"/>
    <xf numFmtId="1" fontId="10" fillId="2" borderId="4" xfId="0" applyNumberFormat="1" applyFont="1" applyFill="1" applyBorder="1" applyAlignment="1">
      <alignment horizontal="right"/>
    </xf>
    <xf numFmtId="3" fontId="8" fillId="0" borderId="6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11" fillId="3" borderId="6" xfId="0" applyNumberFormat="1" applyFont="1" applyFill="1" applyBorder="1"/>
    <xf numFmtId="3" fontId="8" fillId="0" borderId="23" xfId="0" applyNumberFormat="1" applyFont="1" applyBorder="1"/>
    <xf numFmtId="164" fontId="7" fillId="3" borderId="6" xfId="4" applyNumberFormat="1" applyFont="1" applyFill="1" applyBorder="1"/>
    <xf numFmtId="3" fontId="11" fillId="3" borderId="4" xfId="0" applyNumberFormat="1" applyFont="1" applyFill="1" applyBorder="1"/>
    <xf numFmtId="3" fontId="8" fillId="0" borderId="23" xfId="0" applyNumberFormat="1" applyFont="1" applyFill="1" applyBorder="1"/>
    <xf numFmtId="3" fontId="11" fillId="5" borderId="4" xfId="0" applyNumberFormat="1" applyFont="1" applyFill="1" applyBorder="1"/>
    <xf numFmtId="164" fontId="7" fillId="5" borderId="6" xfId="4" applyNumberFormat="1" applyFont="1" applyFill="1" applyBorder="1"/>
    <xf numFmtId="3" fontId="8" fillId="0" borderId="24" xfId="0" applyNumberFormat="1" applyFont="1" applyFill="1" applyBorder="1"/>
    <xf numFmtId="164" fontId="7" fillId="3" borderId="7" xfId="4" applyNumberFormat="1" applyFont="1" applyFill="1" applyBorder="1"/>
    <xf numFmtId="3" fontId="11" fillId="3" borderId="7" xfId="0" applyNumberFormat="1" applyFont="1" applyFill="1" applyBorder="1"/>
    <xf numFmtId="3" fontId="11" fillId="0" borderId="21" xfId="0" applyNumberFormat="1" applyFont="1" applyBorder="1"/>
    <xf numFmtId="3" fontId="11" fillId="0" borderId="24" xfId="0" applyNumberFormat="1" applyFont="1" applyFill="1" applyBorder="1"/>
    <xf numFmtId="3" fontId="8" fillId="0" borderId="21" xfId="0" applyNumberFormat="1" applyFont="1" applyFill="1" applyBorder="1"/>
    <xf numFmtId="3" fontId="11" fillId="0" borderId="25" xfId="0" applyNumberFormat="1" applyFont="1" applyFill="1" applyBorder="1"/>
    <xf numFmtId="3" fontId="8" fillId="0" borderId="4" xfId="0" applyNumberFormat="1" applyFont="1" applyBorder="1"/>
    <xf numFmtId="165" fontId="8" fillId="4" borderId="24" xfId="0" applyNumberFormat="1" applyFont="1" applyFill="1" applyBorder="1"/>
    <xf numFmtId="165" fontId="8" fillId="4" borderId="21" xfId="0" applyNumberFormat="1" applyFont="1" applyFill="1" applyBorder="1"/>
    <xf numFmtId="165" fontId="8" fillId="0" borderId="21" xfId="0" applyNumberFormat="1" applyFont="1" applyBorder="1"/>
    <xf numFmtId="165" fontId="8" fillId="6" borderId="6" xfId="0" applyNumberFormat="1" applyFont="1" applyFill="1" applyBorder="1"/>
    <xf numFmtId="165" fontId="8" fillId="0" borderId="24" xfId="0" applyNumberFormat="1" applyFont="1" applyBorder="1"/>
    <xf numFmtId="165" fontId="8" fillId="0" borderId="25" xfId="0" applyNumberFormat="1" applyFont="1" applyBorder="1"/>
    <xf numFmtId="0" fontId="8" fillId="3" borderId="4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165" fontId="8" fillId="0" borderId="21" xfId="0" applyNumberFormat="1" applyFont="1" applyBorder="1" applyAlignment="1">
      <alignment horizontal="right"/>
    </xf>
    <xf numFmtId="165" fontId="8" fillId="0" borderId="23" xfId="0" applyNumberFormat="1" applyFont="1" applyBorder="1"/>
    <xf numFmtId="165" fontId="11" fillId="3" borderId="10" xfId="0" applyNumberFormat="1" applyFont="1" applyFill="1" applyBorder="1"/>
    <xf numFmtId="165" fontId="8" fillId="0" borderId="26" xfId="0" applyNumberFormat="1" applyFont="1" applyBorder="1"/>
    <xf numFmtId="165" fontId="11" fillId="3" borderId="6" xfId="0" applyNumberFormat="1" applyFont="1" applyFill="1" applyBorder="1"/>
    <xf numFmtId="165" fontId="8" fillId="3" borderId="4" xfId="0" applyNumberFormat="1" applyFont="1" applyFill="1" applyBorder="1"/>
    <xf numFmtId="3" fontId="8" fillId="4" borderId="11" xfId="0" applyNumberFormat="1" applyFont="1" applyFill="1" applyBorder="1"/>
    <xf numFmtId="3" fontId="8" fillId="0" borderId="13" xfId="4" applyNumberFormat="1" applyFont="1" applyFill="1" applyBorder="1"/>
    <xf numFmtId="3" fontId="8" fillId="4" borderId="13" xfId="0" applyNumberFormat="1" applyFont="1" applyFill="1" applyBorder="1"/>
    <xf numFmtId="3" fontId="8" fillId="4" borderId="24" xfId="0" applyNumberFormat="1" applyFont="1" applyFill="1" applyBorder="1"/>
    <xf numFmtId="3" fontId="8" fillId="0" borderId="21" xfId="4" applyNumberFormat="1" applyFont="1" applyFill="1" applyBorder="1"/>
    <xf numFmtId="3" fontId="8" fillId="4" borderId="21" xfId="0" applyNumberFormat="1" applyFont="1" applyFill="1" applyBorder="1"/>
    <xf numFmtId="0" fontId="15" fillId="0" borderId="0" xfId="0" applyFont="1"/>
    <xf numFmtId="165" fontId="11" fillId="3" borderId="7" xfId="0" applyNumberFormat="1" applyFont="1" applyFill="1" applyBorder="1" applyAlignment="1">
      <alignment horizontal="right"/>
    </xf>
    <xf numFmtId="170" fontId="8" fillId="4" borderId="13" xfId="0" applyNumberFormat="1" applyFont="1" applyFill="1" applyBorder="1"/>
    <xf numFmtId="170" fontId="8" fillId="4" borderId="21" xfId="0" applyNumberFormat="1" applyFont="1" applyFill="1" applyBorder="1"/>
    <xf numFmtId="170" fontId="8" fillId="4" borderId="14" xfId="0" applyNumberFormat="1" applyFont="1" applyFill="1" applyBorder="1"/>
    <xf numFmtId="170" fontId="8" fillId="4" borderId="23" xfId="0" applyNumberFormat="1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16" fillId="0" borderId="0" xfId="0" applyNumberFormat="1" applyFont="1"/>
    <xf numFmtId="9" fontId="0" fillId="0" borderId="0" xfId="4" applyFont="1"/>
    <xf numFmtId="9" fontId="0" fillId="0" borderId="0" xfId="0" applyNumberFormat="1" applyAlignment="1">
      <alignment horizontal="center"/>
    </xf>
    <xf numFmtId="9" fontId="0" fillId="0" borderId="0" xfId="4" applyNumberFormat="1" applyFont="1"/>
    <xf numFmtId="0" fontId="17" fillId="0" borderId="0" xfId="0" applyFont="1"/>
    <xf numFmtId="0" fontId="17" fillId="0" borderId="0" xfId="0" applyFont="1" applyAlignment="1">
      <alignment horizontal="right"/>
    </xf>
    <xf numFmtId="0" fontId="11" fillId="6" borderId="19" xfId="0" applyFont="1" applyFill="1" applyBorder="1" applyAlignment="1">
      <alignment horizontal="left" indent="1"/>
    </xf>
    <xf numFmtId="3" fontId="11" fillId="6" borderId="11" xfId="0" applyNumberFormat="1" applyFont="1" applyFill="1" applyBorder="1"/>
    <xf numFmtId="3" fontId="11" fillId="6" borderId="24" xfId="0" applyNumberFormat="1" applyFont="1" applyFill="1" applyBorder="1"/>
    <xf numFmtId="0" fontId="11" fillId="6" borderId="20" xfId="0" applyFont="1" applyFill="1" applyBorder="1" applyAlignment="1">
      <alignment horizontal="left" indent="1"/>
    </xf>
    <xf numFmtId="3" fontId="11" fillId="6" borderId="18" xfId="0" applyNumberFormat="1" applyFont="1" applyFill="1" applyBorder="1"/>
    <xf numFmtId="3" fontId="11" fillId="6" borderId="25" xfId="0" applyNumberFormat="1" applyFont="1" applyFill="1" applyBorder="1"/>
    <xf numFmtId="3" fontId="15" fillId="0" borderId="0" xfId="0" applyNumberFormat="1" applyFont="1" applyBorder="1"/>
    <xf numFmtId="0" fontId="15" fillId="0" borderId="0" xfId="0" applyFont="1" applyBorder="1"/>
    <xf numFmtId="0" fontId="13" fillId="0" borderId="5" xfId="0" applyFont="1" applyBorder="1"/>
    <xf numFmtId="3" fontId="13" fillId="0" borderId="0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0" fontId="18" fillId="0" borderId="0" xfId="0" applyFont="1"/>
  </cellXfs>
  <cellStyles count="8">
    <cellStyle name="Milliers 2" xfId="6" xr:uid="{9D3027ED-AE82-BA4C-8B95-983CDEAB80EC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7" xr:uid="{5F1DA66C-9203-AA49-BB96-E5A0EB48648B}"/>
    <cellStyle name="Pourcentage" xfId="4" builtinId="5"/>
    <cellStyle name="Pourcentage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zahaji/Desktop/Hamza%2020.08.2019/WARA/2019/CBI%20CI/production%20analytique/post%20revue%20boss/B12-CBI%20CI%20Spreads%20au%2031-12-2018%20-%20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78"/>
  <sheetViews>
    <sheetView showGridLines="0" tabSelected="1" zoomScale="120" zoomScaleNormal="120" workbookViewId="0">
      <selection activeCell="B88" sqref="B88:I88"/>
    </sheetView>
  </sheetViews>
  <sheetFormatPr baseColWidth="10" defaultColWidth="11.42578125" defaultRowHeight="15.75" x14ac:dyDescent="0.25"/>
  <cols>
    <col min="1" max="1" width="3.7109375" style="1" customWidth="1"/>
    <col min="2" max="2" width="59.7109375" style="1" customWidth="1"/>
    <col min="3" max="3" width="12.85546875" style="1" hidden="1" customWidth="1"/>
    <col min="4" max="4" width="12.140625" style="1" hidden="1" customWidth="1"/>
    <col min="5" max="5" width="12.140625" style="1" customWidth="1"/>
    <col min="6" max="6" width="12.85546875" style="1" bestFit="1" customWidth="1"/>
    <col min="7" max="7" width="12.85546875" style="1" customWidth="1"/>
    <col min="8" max="8" width="12.7109375" style="15" customWidth="1"/>
    <col min="9" max="9" width="11.42578125" style="15"/>
    <col min="10" max="16384" width="11.42578125" style="1"/>
  </cols>
  <sheetData>
    <row r="1" spans="2:9" ht="18.75" x14ac:dyDescent="0.3">
      <c r="B1" s="141" t="s">
        <v>130</v>
      </c>
    </row>
    <row r="3" spans="2:9" s="4" customFormat="1" x14ac:dyDescent="0.25">
      <c r="B3" s="2" t="s">
        <v>84</v>
      </c>
      <c r="C3" s="67">
        <v>2014</v>
      </c>
      <c r="D3" s="67">
        <v>2015</v>
      </c>
      <c r="E3" s="67">
        <v>2016</v>
      </c>
      <c r="F3" s="67">
        <v>2017</v>
      </c>
      <c r="G3" s="67">
        <v>2018</v>
      </c>
      <c r="H3" s="67">
        <v>2019</v>
      </c>
      <c r="I3" s="74">
        <v>2020</v>
      </c>
    </row>
    <row r="4" spans="2:9" x14ac:dyDescent="0.25">
      <c r="B4" s="5"/>
      <c r="C4" s="6"/>
      <c r="D4" s="6"/>
      <c r="E4" s="6"/>
      <c r="F4" s="6"/>
      <c r="G4" s="6"/>
      <c r="H4" s="6"/>
      <c r="I4" s="75"/>
    </row>
    <row r="5" spans="2:9" x14ac:dyDescent="0.25">
      <c r="B5" s="7" t="s">
        <v>34</v>
      </c>
      <c r="C5" s="36"/>
      <c r="D5" s="36" t="e">
        <f>+#REF!/1000000</f>
        <v>#REF!</v>
      </c>
      <c r="E5" s="36">
        <v>52799.255080000003</v>
      </c>
      <c r="F5" s="36">
        <v>56161.528478</v>
      </c>
      <c r="G5" s="36">
        <v>56186.690281000003</v>
      </c>
      <c r="H5" s="36">
        <v>56656.139023000003</v>
      </c>
      <c r="I5" s="76">
        <v>63333.302161</v>
      </c>
    </row>
    <row r="6" spans="2:9" x14ac:dyDescent="0.25">
      <c r="B6" s="7" t="s">
        <v>72</v>
      </c>
      <c r="C6" s="36"/>
      <c r="D6" s="36" t="e">
        <f>+#REF!/1000000</f>
        <v>#REF!</v>
      </c>
      <c r="E6" s="36">
        <v>1677.0503220000001</v>
      </c>
      <c r="F6" s="36">
        <v>6771.5525369999996</v>
      </c>
      <c r="G6" s="36">
        <v>2794.5219990000001</v>
      </c>
      <c r="H6" s="36">
        <v>691.35519099999999</v>
      </c>
      <c r="I6" s="76">
        <v>-1166.6229149999999</v>
      </c>
    </row>
    <row r="7" spans="2:9" x14ac:dyDescent="0.25">
      <c r="B7" s="7" t="s">
        <v>20</v>
      </c>
      <c r="C7" s="36"/>
      <c r="D7" s="36" t="e">
        <f>+#REF!/1000000</f>
        <v>#REF!</v>
      </c>
      <c r="E7" s="36">
        <v>4052.2006719999999</v>
      </c>
      <c r="F7" s="36">
        <v>4754.5147379999999</v>
      </c>
      <c r="G7" s="36">
        <v>3050.060113</v>
      </c>
      <c r="H7" s="36">
        <v>3076.8164660000002</v>
      </c>
      <c r="I7" s="76">
        <v>4803.955121</v>
      </c>
    </row>
    <row r="8" spans="2:9" x14ac:dyDescent="0.25">
      <c r="B8" s="45" t="s">
        <v>21</v>
      </c>
      <c r="C8" s="39"/>
      <c r="D8" s="39" t="e">
        <f>+#REF!/1000000</f>
        <v>#REF!</v>
      </c>
      <c r="E8" s="39">
        <v>126.434817</v>
      </c>
      <c r="F8" s="39">
        <v>22.091881000000001</v>
      </c>
      <c r="G8" s="39">
        <v>4.0194229999999997</v>
      </c>
      <c r="H8" s="39">
        <v>299.85156999999998</v>
      </c>
      <c r="I8" s="77">
        <v>248.831886</v>
      </c>
    </row>
    <row r="9" spans="2:9" s="4" customFormat="1" x14ac:dyDescent="0.25">
      <c r="B9" s="8" t="s">
        <v>30</v>
      </c>
      <c r="C9" s="9"/>
      <c r="D9" s="9" t="e">
        <f t="shared" ref="D9" si="0">SUM(D5:D8)</f>
        <v>#REF!</v>
      </c>
      <c r="E9" s="9">
        <v>58654.940891000006</v>
      </c>
      <c r="F9" s="9">
        <v>67709.687634000002</v>
      </c>
      <c r="G9" s="9">
        <v>62035.291815999997</v>
      </c>
      <c r="H9" s="9">
        <v>60724.162250000008</v>
      </c>
      <c r="I9" s="78">
        <v>67219.466253000006</v>
      </c>
    </row>
    <row r="10" spans="2:9" x14ac:dyDescent="0.25">
      <c r="B10" s="5"/>
      <c r="C10" s="6"/>
      <c r="D10" s="6"/>
      <c r="E10" s="6"/>
      <c r="F10" s="6"/>
      <c r="G10" s="6"/>
      <c r="H10" s="6"/>
      <c r="I10" s="75"/>
    </row>
    <row r="11" spans="2:9" x14ac:dyDescent="0.25">
      <c r="B11" s="5" t="s">
        <v>13</v>
      </c>
      <c r="C11" s="36"/>
      <c r="D11" s="36" t="e">
        <f>(#REF!+#REF!+#REF!+#REF!+#REF!+#REF!)/-1000000</f>
        <v>#REF!</v>
      </c>
      <c r="E11" s="36">
        <v>-21706.150412999999</v>
      </c>
      <c r="F11" s="36">
        <v>-31088.771858</v>
      </c>
      <c r="G11" s="36">
        <v>-27278.725094000001</v>
      </c>
      <c r="H11" s="36">
        <v>-27915.137326</v>
      </c>
      <c r="I11" s="76">
        <v>-29034.783001</v>
      </c>
    </row>
    <row r="12" spans="2:9" x14ac:dyDescent="0.25">
      <c r="B12" s="5" t="s">
        <v>14</v>
      </c>
      <c r="C12" s="36"/>
      <c r="D12" s="36" t="e">
        <f>+#REF!/-1000000</f>
        <v>#REF!</v>
      </c>
      <c r="E12" s="36">
        <v>-880.97520699999995</v>
      </c>
      <c r="F12" s="36">
        <v>-771.23290299999996</v>
      </c>
      <c r="G12" s="36">
        <v>-610.85292100000004</v>
      </c>
      <c r="H12" s="36">
        <v>-728.21048599999995</v>
      </c>
      <c r="I12" s="76">
        <v>-679.71241299999997</v>
      </c>
    </row>
    <row r="13" spans="2:9" x14ac:dyDescent="0.25">
      <c r="B13" s="5" t="s">
        <v>15</v>
      </c>
      <c r="C13" s="36"/>
      <c r="D13" s="36" t="e">
        <f>+#REF!/-1000000</f>
        <v>#REF!</v>
      </c>
      <c r="E13" s="36">
        <v>-6298.5657220000003</v>
      </c>
      <c r="F13" s="36">
        <v>-7676.9750100000001</v>
      </c>
      <c r="G13" s="36">
        <v>-7647.4542879999999</v>
      </c>
      <c r="H13" s="36">
        <v>-8459.9102490000005</v>
      </c>
      <c r="I13" s="76">
        <v>-8390.1275069999992</v>
      </c>
    </row>
    <row r="14" spans="2:9" x14ac:dyDescent="0.25">
      <c r="B14" s="5" t="s">
        <v>17</v>
      </c>
      <c r="C14" s="37"/>
      <c r="D14" s="37" t="e">
        <f>+#REF!/-1000000</f>
        <v>#REF!</v>
      </c>
      <c r="E14" s="37">
        <v>-237.921401</v>
      </c>
      <c r="F14" s="37">
        <v>-217.11882700000001</v>
      </c>
      <c r="G14" s="37">
        <v>-249.72202300000001</v>
      </c>
      <c r="H14" s="37">
        <v>-704.14676199999997</v>
      </c>
      <c r="I14" s="79">
        <v>-678.127925</v>
      </c>
    </row>
    <row r="15" spans="2:9" s="4" customFormat="1" x14ac:dyDescent="0.25">
      <c r="B15" s="10" t="s">
        <v>29</v>
      </c>
      <c r="C15" s="9"/>
      <c r="D15" s="9" t="e">
        <f t="shared" ref="D15" si="1">SUM(D9:D14)</f>
        <v>#REF!</v>
      </c>
      <c r="E15" s="9">
        <v>29531.328148000008</v>
      </c>
      <c r="F15" s="9">
        <v>27955.589036000005</v>
      </c>
      <c r="G15" s="9">
        <v>26248.537489999999</v>
      </c>
      <c r="H15" s="9">
        <v>22916.757427000011</v>
      </c>
      <c r="I15" s="78">
        <v>28436.715407000003</v>
      </c>
    </row>
    <row r="16" spans="2:9" s="12" customFormat="1" x14ac:dyDescent="0.25">
      <c r="B16" s="68" t="s">
        <v>28</v>
      </c>
      <c r="C16" s="69"/>
      <c r="D16" s="69" t="e">
        <f t="shared" ref="D16" si="2">D15/D5</f>
        <v>#REF!</v>
      </c>
      <c r="E16" s="69">
        <v>0.5593133483276409</v>
      </c>
      <c r="F16" s="69">
        <v>0.49777115747394535</v>
      </c>
      <c r="G16" s="69">
        <v>0.46716646520245669</v>
      </c>
      <c r="H16" s="69">
        <v>0.4044885130223359</v>
      </c>
      <c r="I16" s="80">
        <v>0.44900099058013498</v>
      </c>
    </row>
    <row r="17" spans="2:9" x14ac:dyDescent="0.25">
      <c r="B17" s="5"/>
      <c r="C17" s="6"/>
      <c r="D17" s="6"/>
      <c r="E17" s="6"/>
      <c r="F17" s="6"/>
      <c r="G17" s="6"/>
      <c r="H17" s="6"/>
      <c r="I17" s="75"/>
    </row>
    <row r="18" spans="2:9" x14ac:dyDescent="0.25">
      <c r="B18" s="5" t="s">
        <v>16</v>
      </c>
      <c r="C18" s="36"/>
      <c r="D18" s="36" t="e">
        <f>+#REF!/-1000000</f>
        <v>#REF!</v>
      </c>
      <c r="E18" s="36">
        <v>-1089.492673</v>
      </c>
      <c r="F18" s="36">
        <v>-1290.6308919999999</v>
      </c>
      <c r="G18" s="36">
        <v>-1043.5757639999999</v>
      </c>
      <c r="H18" s="36">
        <v>-1080.6368669999999</v>
      </c>
      <c r="I18" s="76">
        <v>-1819.2416519999999</v>
      </c>
    </row>
    <row r="19" spans="2:9" x14ac:dyDescent="0.25">
      <c r="B19" s="5" t="s">
        <v>19</v>
      </c>
      <c r="C19" s="37"/>
      <c r="D19" s="37" t="e">
        <f>+#REF!/-1000000</f>
        <v>#REF!</v>
      </c>
      <c r="E19" s="37">
        <v>-11431.186146</v>
      </c>
      <c r="F19" s="37">
        <v>-12663.757783999999</v>
      </c>
      <c r="G19" s="37">
        <v>-12720.609308999999</v>
      </c>
      <c r="H19" s="37">
        <v>-13384.238305000001</v>
      </c>
      <c r="I19" s="79">
        <v>-13327.277012</v>
      </c>
    </row>
    <row r="20" spans="2:9" s="4" customFormat="1" x14ac:dyDescent="0.25">
      <c r="B20" s="10" t="s">
        <v>31</v>
      </c>
      <c r="C20" s="9"/>
      <c r="D20" s="9" t="e">
        <f t="shared" ref="D20" si="3">D15+D18+D19</f>
        <v>#REF!</v>
      </c>
      <c r="E20" s="9">
        <v>17010.649329000007</v>
      </c>
      <c r="F20" s="9">
        <v>14001.200360000004</v>
      </c>
      <c r="G20" s="9">
        <v>12484.352416999998</v>
      </c>
      <c r="H20" s="9">
        <v>8451.8822550000095</v>
      </c>
      <c r="I20" s="78">
        <v>13290.196743000002</v>
      </c>
    </row>
    <row r="21" spans="2:9" s="12" customFormat="1" x14ac:dyDescent="0.25">
      <c r="B21" s="68" t="s">
        <v>28</v>
      </c>
      <c r="C21" s="69"/>
      <c r="D21" s="69" t="e">
        <f t="shared" ref="D21" si="4">D20/D5</f>
        <v>#REF!</v>
      </c>
      <c r="E21" s="69">
        <v>0.32217593417228957</v>
      </c>
      <c r="F21" s="69">
        <v>0.24930233808512986</v>
      </c>
      <c r="G21" s="69">
        <v>0.2221941238140821</v>
      </c>
      <c r="H21" s="69">
        <v>0.14917857801021178</v>
      </c>
      <c r="I21" s="80">
        <v>0.20984531501633857</v>
      </c>
    </row>
    <row r="22" spans="2:9" x14ac:dyDescent="0.25">
      <c r="B22" s="5"/>
      <c r="C22" s="6"/>
      <c r="D22" s="6"/>
      <c r="E22" s="6"/>
      <c r="F22" s="6"/>
      <c r="G22" s="6"/>
      <c r="H22" s="6"/>
      <c r="I22" s="75"/>
    </row>
    <row r="23" spans="2:9" x14ac:dyDescent="0.25">
      <c r="B23" s="5" t="s">
        <v>18</v>
      </c>
      <c r="C23" s="36"/>
      <c r="D23" s="36" t="e">
        <f>+#REF!/-1000000</f>
        <v>#REF!</v>
      </c>
      <c r="E23" s="36">
        <v>-10587.186653999999</v>
      </c>
      <c r="F23" s="36">
        <v>-10208.719981</v>
      </c>
      <c r="G23" s="36">
        <v>-10976.163253000001</v>
      </c>
      <c r="H23" s="36">
        <v>-9586.3518929999991</v>
      </c>
      <c r="I23" s="76">
        <v>-9239.480243</v>
      </c>
    </row>
    <row r="24" spans="2:9" x14ac:dyDescent="0.25">
      <c r="B24" s="5" t="s">
        <v>22</v>
      </c>
      <c r="C24" s="37"/>
      <c r="D24" s="37" t="e">
        <f>+#REF!/1000000+#REF!/1000000</f>
        <v>#REF!</v>
      </c>
      <c r="E24" s="37">
        <v>47.897413999999998</v>
      </c>
      <c r="F24" s="37">
        <v>40.314883000000002</v>
      </c>
      <c r="G24" s="37">
        <v>0</v>
      </c>
      <c r="H24" s="37">
        <v>0</v>
      </c>
      <c r="I24" s="79">
        <v>352.952471</v>
      </c>
    </row>
    <row r="25" spans="2:9" s="4" customFormat="1" x14ac:dyDescent="0.25">
      <c r="B25" s="10" t="s">
        <v>23</v>
      </c>
      <c r="C25" s="11"/>
      <c r="D25" s="11" t="e">
        <f t="shared" ref="D25" si="5">D20+D23+D24</f>
        <v>#REF!</v>
      </c>
      <c r="E25" s="11">
        <v>6471.360089000008</v>
      </c>
      <c r="F25" s="11">
        <v>3832.7952620000042</v>
      </c>
      <c r="G25" s="11">
        <v>1508.1891639999976</v>
      </c>
      <c r="H25" s="11">
        <v>-1134.4696379999896</v>
      </c>
      <c r="I25" s="81">
        <v>4403.6689710000019</v>
      </c>
    </row>
    <row r="26" spans="2:9" s="12" customFormat="1" x14ac:dyDescent="0.25">
      <c r="B26" s="68" t="s">
        <v>28</v>
      </c>
      <c r="C26" s="69"/>
      <c r="D26" s="69" t="e">
        <f t="shared" ref="D26" si="6">D25/D5</f>
        <v>#REF!</v>
      </c>
      <c r="E26" s="69">
        <v>0.12256536724229875</v>
      </c>
      <c r="F26" s="69">
        <v>6.8245921467422574E-2</v>
      </c>
      <c r="G26" s="69">
        <v>2.6842463160888556E-2</v>
      </c>
      <c r="H26" s="69">
        <v>-2.0023772490734722E-2</v>
      </c>
      <c r="I26" s="80">
        <v>6.9531649554690933E-2</v>
      </c>
    </row>
    <row r="27" spans="2:9" x14ac:dyDescent="0.25">
      <c r="B27" s="5"/>
      <c r="C27" s="6"/>
      <c r="D27" s="6"/>
      <c r="E27" s="6"/>
      <c r="F27" s="6"/>
      <c r="G27" s="6"/>
      <c r="H27" s="6"/>
      <c r="I27" s="75"/>
    </row>
    <row r="28" spans="2:9" x14ac:dyDescent="0.25">
      <c r="B28" s="5" t="s">
        <v>32</v>
      </c>
      <c r="C28" s="36"/>
      <c r="D28" s="36" t="e">
        <f>+(#REF!-#REF!)/1000000</f>
        <v>#REF!</v>
      </c>
      <c r="E28" s="36">
        <v>-1494.050381</v>
      </c>
      <c r="F28" s="36">
        <v>-1488.5248329999999</v>
      </c>
      <c r="G28" s="36">
        <v>-2005.1730869999999</v>
      </c>
      <c r="H28" s="36">
        <v>-1862.821404</v>
      </c>
      <c r="I28" s="76">
        <v>-1874.046116</v>
      </c>
    </row>
    <row r="29" spans="2:9" x14ac:dyDescent="0.25">
      <c r="B29" s="5" t="s">
        <v>35</v>
      </c>
      <c r="C29" s="36"/>
      <c r="D29" s="36" t="e">
        <f>+#REF!/-1000000+#REF!/1000000</f>
        <v>#REF!</v>
      </c>
      <c r="E29" s="36">
        <v>-73.933909999999997</v>
      </c>
      <c r="F29" s="36">
        <v>1370.8275169999999</v>
      </c>
      <c r="G29" s="36">
        <v>390.57400999999999</v>
      </c>
      <c r="H29" s="36">
        <v>-2341.8247069999998</v>
      </c>
      <c r="I29" s="76">
        <v>-455.170796</v>
      </c>
    </row>
    <row r="30" spans="2:9" x14ac:dyDescent="0.25">
      <c r="B30" s="5" t="s">
        <v>61</v>
      </c>
      <c r="C30" s="36"/>
      <c r="D30" s="36" t="e">
        <f>+#REF!/1000000</f>
        <v>#REF!</v>
      </c>
      <c r="E30" s="36">
        <v>0</v>
      </c>
      <c r="F30" s="36">
        <v>0</v>
      </c>
      <c r="G30" s="36">
        <v>0</v>
      </c>
      <c r="H30" s="36">
        <v>0</v>
      </c>
      <c r="I30" s="76">
        <v>0</v>
      </c>
    </row>
    <row r="31" spans="2:9" x14ac:dyDescent="0.25">
      <c r="B31" s="5" t="s">
        <v>33</v>
      </c>
      <c r="C31" s="37"/>
      <c r="D31" s="37" t="e">
        <f>+#REF!/-1000000</f>
        <v>#REF!</v>
      </c>
      <c r="E31" s="37">
        <v>-634.46223399999997</v>
      </c>
      <c r="F31" s="37">
        <v>-567.93322899999998</v>
      </c>
      <c r="G31" s="37">
        <v>-194.794995</v>
      </c>
      <c r="H31" s="37">
        <v>0</v>
      </c>
      <c r="I31" s="79">
        <v>-286.27382599999999</v>
      </c>
    </row>
    <row r="32" spans="2:9" s="4" customFormat="1" x14ac:dyDescent="0.25">
      <c r="B32" s="10" t="s">
        <v>66</v>
      </c>
      <c r="C32" s="11"/>
      <c r="D32" s="11" t="e">
        <f t="shared" ref="D32" si="7">D25+D28+D29+D31+D30</f>
        <v>#REF!</v>
      </c>
      <c r="E32" s="11">
        <v>4268.9135640000086</v>
      </c>
      <c r="F32" s="11">
        <v>3147.1647170000042</v>
      </c>
      <c r="G32" s="11">
        <v>-301.20490800000232</v>
      </c>
      <c r="H32" s="11">
        <v>-5339.1157489999896</v>
      </c>
      <c r="I32" s="81">
        <v>1788.1782330000019</v>
      </c>
    </row>
    <row r="33" spans="2:9" s="4" customFormat="1" x14ac:dyDescent="0.25">
      <c r="B33" s="68" t="s">
        <v>28</v>
      </c>
      <c r="C33" s="69"/>
      <c r="D33" s="69" t="e">
        <f t="shared" ref="D33" si="8">D32/D5</f>
        <v>#REF!</v>
      </c>
      <c r="E33" s="69">
        <v>8.0851776365629902E-2</v>
      </c>
      <c r="F33" s="69">
        <v>5.6037732631027563E-2</v>
      </c>
      <c r="G33" s="69">
        <v>-5.3607875191370238E-3</v>
      </c>
      <c r="H33" s="69">
        <v>-9.4237197258227101E-2</v>
      </c>
      <c r="I33" s="80">
        <v>2.8234407049458156E-2</v>
      </c>
    </row>
    <row r="34" spans="2:9" s="4" customFormat="1" x14ac:dyDescent="0.25">
      <c r="B34" s="20"/>
      <c r="C34" s="13"/>
      <c r="D34" s="13"/>
      <c r="E34" s="13"/>
      <c r="F34" s="13"/>
      <c r="G34" s="13"/>
      <c r="H34" s="13"/>
      <c r="I34" s="14"/>
    </row>
    <row r="35" spans="2:9" s="4" customFormat="1" x14ac:dyDescent="0.25">
      <c r="B35" s="20" t="s">
        <v>85</v>
      </c>
      <c r="C35" s="42"/>
      <c r="D35" s="42" t="e">
        <f>#REF!/1000000</f>
        <v>#REF!</v>
      </c>
      <c r="E35" s="42">
        <v>0</v>
      </c>
      <c r="F35" s="42">
        <v>0</v>
      </c>
      <c r="G35" s="42">
        <v>0</v>
      </c>
      <c r="H35" s="42">
        <v>0</v>
      </c>
      <c r="I35" s="82">
        <v>0</v>
      </c>
    </row>
    <row r="36" spans="2:9" s="4" customFormat="1" x14ac:dyDescent="0.25">
      <c r="B36" s="47" t="s">
        <v>92</v>
      </c>
      <c r="C36" s="48"/>
      <c r="D36" s="48" t="e">
        <f t="shared" ref="D36" si="9">+D32+D35</f>
        <v>#REF!</v>
      </c>
      <c r="E36" s="48">
        <v>4268.9135640000086</v>
      </c>
      <c r="F36" s="48">
        <v>3147.1647170000042</v>
      </c>
      <c r="G36" s="48">
        <v>-301.20490800000232</v>
      </c>
      <c r="H36" s="48">
        <v>-5339.1157489999896</v>
      </c>
      <c r="I36" s="83">
        <v>1788.1782330000019</v>
      </c>
    </row>
    <row r="37" spans="2:9" s="4" customFormat="1" x14ac:dyDescent="0.25">
      <c r="B37" s="70" t="s">
        <v>28</v>
      </c>
      <c r="C37" s="71"/>
      <c r="D37" s="71" t="e">
        <f t="shared" ref="D37" si="10">D36/D5</f>
        <v>#REF!</v>
      </c>
      <c r="E37" s="71">
        <v>8.0851776365629902E-2</v>
      </c>
      <c r="F37" s="71">
        <v>5.6037732631027563E-2</v>
      </c>
      <c r="G37" s="71">
        <v>-5.3607875191370238E-3</v>
      </c>
      <c r="H37" s="71">
        <v>-9.4237197258227101E-2</v>
      </c>
      <c r="I37" s="84">
        <v>2.8234407049458156E-2</v>
      </c>
    </row>
    <row r="38" spans="2:9" s="4" customFormat="1" x14ac:dyDescent="0.25">
      <c r="B38" s="20"/>
      <c r="C38" s="40"/>
      <c r="D38" s="40"/>
      <c r="E38" s="40"/>
      <c r="F38" s="40"/>
      <c r="G38" s="40"/>
      <c r="H38" s="40"/>
      <c r="I38" s="85"/>
    </row>
    <row r="39" spans="2:9" s="4" customFormat="1" x14ac:dyDescent="0.25">
      <c r="B39" s="46" t="s">
        <v>65</v>
      </c>
      <c r="C39" s="42"/>
      <c r="D39" s="42" t="e">
        <f>+#REF!/1000000</f>
        <v>#REF!</v>
      </c>
      <c r="E39" s="42">
        <v>0</v>
      </c>
      <c r="F39" s="42">
        <v>0</v>
      </c>
      <c r="G39" s="42">
        <v>0</v>
      </c>
      <c r="H39" s="42">
        <v>0</v>
      </c>
      <c r="I39" s="82">
        <v>0</v>
      </c>
    </row>
    <row r="40" spans="2:9" s="4" customFormat="1" x14ac:dyDescent="0.25">
      <c r="B40" s="25" t="s">
        <v>91</v>
      </c>
      <c r="C40" s="9"/>
      <c r="D40" s="9" t="e">
        <f t="shared" ref="D40" si="11">+D36-D39</f>
        <v>#REF!</v>
      </c>
      <c r="E40" s="9">
        <v>4268.9135640000086</v>
      </c>
      <c r="F40" s="9">
        <v>3147.1647170000042</v>
      </c>
      <c r="G40" s="9">
        <v>-301.20490800000232</v>
      </c>
      <c r="H40" s="9">
        <v>-5339.1157489999896</v>
      </c>
      <c r="I40" s="78">
        <v>1788.1782330000019</v>
      </c>
    </row>
    <row r="41" spans="2:9" s="12" customFormat="1" x14ac:dyDescent="0.25">
      <c r="B41" s="72" t="s">
        <v>28</v>
      </c>
      <c r="C41" s="73"/>
      <c r="D41" s="73" t="e">
        <f t="shared" ref="D41" si="12">D32/D5</f>
        <v>#REF!</v>
      </c>
      <c r="E41" s="73">
        <v>8.0851776365629902E-2</v>
      </c>
      <c r="F41" s="73">
        <v>5.6037732631027563E-2</v>
      </c>
      <c r="G41" s="73">
        <v>-5.3607875191370238E-3</v>
      </c>
      <c r="H41" s="73">
        <v>-9.4237197258227101E-2</v>
      </c>
      <c r="I41" s="86">
        <v>2.8234407049458156E-2</v>
      </c>
    </row>
    <row r="42" spans="2:9" x14ac:dyDescent="0.25">
      <c r="C42" s="6"/>
      <c r="G42" s="15"/>
      <c r="H42" s="1"/>
      <c r="I42" s="1"/>
    </row>
    <row r="43" spans="2:9" x14ac:dyDescent="0.25">
      <c r="C43" s="6"/>
      <c r="G43" s="15"/>
      <c r="H43" s="1"/>
      <c r="I43" s="1"/>
    </row>
    <row r="44" spans="2:9" s="4" customFormat="1" x14ac:dyDescent="0.25">
      <c r="B44" s="2" t="s">
        <v>40</v>
      </c>
      <c r="C44" s="3">
        <v>42004</v>
      </c>
      <c r="D44" s="67">
        <v>2015</v>
      </c>
      <c r="E44" s="67">
        <v>2016</v>
      </c>
      <c r="F44" s="67">
        <v>2017</v>
      </c>
      <c r="G44" s="67">
        <v>2018</v>
      </c>
      <c r="H44" s="67">
        <v>2019</v>
      </c>
      <c r="I44" s="74">
        <v>2020</v>
      </c>
    </row>
    <row r="45" spans="2:9" x14ac:dyDescent="0.25">
      <c r="B45" s="5"/>
      <c r="C45" s="6"/>
      <c r="D45" s="6"/>
      <c r="E45" s="6"/>
      <c r="F45" s="6"/>
      <c r="G45" s="6"/>
      <c r="H45" s="6"/>
      <c r="I45" s="75"/>
    </row>
    <row r="46" spans="2:9" x14ac:dyDescent="0.25">
      <c r="B46" s="5" t="s">
        <v>0</v>
      </c>
      <c r="C46" s="36" t="e">
        <f>#REF!/1000000</f>
        <v>#REF!</v>
      </c>
      <c r="D46" s="36" t="e">
        <f>#REF!/1000000</f>
        <v>#REF!</v>
      </c>
      <c r="E46" s="36">
        <v>229.76276200000001</v>
      </c>
      <c r="F46" s="36">
        <v>0</v>
      </c>
      <c r="G46" s="36">
        <v>0</v>
      </c>
      <c r="H46" s="36">
        <v>0</v>
      </c>
      <c r="I46" s="76">
        <v>0</v>
      </c>
    </row>
    <row r="47" spans="2:9" x14ac:dyDescent="0.25">
      <c r="B47" s="7" t="s">
        <v>1</v>
      </c>
      <c r="C47" s="36" t="e">
        <f>#REF!/1000000</f>
        <v>#REF!</v>
      </c>
      <c r="D47" s="36" t="e">
        <f>#REF!/1000000</f>
        <v>#REF!</v>
      </c>
      <c r="E47" s="36">
        <v>1786.224643</v>
      </c>
      <c r="F47" s="36">
        <v>838.30676500000004</v>
      </c>
      <c r="G47" s="36">
        <v>28.454226999999999</v>
      </c>
      <c r="H47" s="36">
        <v>13.165903</v>
      </c>
      <c r="I47" s="76">
        <v>1.3306180000000001</v>
      </c>
    </row>
    <row r="48" spans="2:9" x14ac:dyDescent="0.25">
      <c r="B48" s="7" t="s">
        <v>2</v>
      </c>
      <c r="C48" s="36" t="e">
        <f>+#REF!/1000000+#REF!/1000000</f>
        <v>#REF!</v>
      </c>
      <c r="D48" s="36" t="e">
        <f>+#REF!/1000000+#REF!/1000000</f>
        <v>#REF!</v>
      </c>
      <c r="E48" s="36">
        <v>44440.597938999999</v>
      </c>
      <c r="F48" s="36">
        <v>46369.119730999999</v>
      </c>
      <c r="G48" s="36">
        <v>47370.119976000002</v>
      </c>
      <c r="H48" s="36">
        <v>44477.917011999998</v>
      </c>
      <c r="I48" s="76">
        <v>46237.485857</v>
      </c>
    </row>
    <row r="49" spans="2:11" x14ac:dyDescent="0.25">
      <c r="B49" s="5" t="s">
        <v>3</v>
      </c>
      <c r="C49" s="36" t="e">
        <f>+#REF!/1000000</f>
        <v>#REF!</v>
      </c>
      <c r="D49" s="36" t="e">
        <f>+#REF!/1000000</f>
        <v>#REF!</v>
      </c>
      <c r="E49" s="36">
        <v>139.345406</v>
      </c>
      <c r="F49" s="36">
        <v>108.348972</v>
      </c>
      <c r="G49" s="36">
        <v>101.57342199999999</v>
      </c>
      <c r="H49" s="36">
        <v>1391.1343899999999</v>
      </c>
      <c r="I49" s="76">
        <v>1222.407557</v>
      </c>
    </row>
    <row r="50" spans="2:11" x14ac:dyDescent="0.25">
      <c r="B50" s="5" t="s">
        <v>26</v>
      </c>
      <c r="C50" s="36" t="e">
        <f>#REF!/1000000</f>
        <v>#REF!</v>
      </c>
      <c r="D50" s="36" t="e">
        <f>#REF!/1000000</f>
        <v>#REF!</v>
      </c>
      <c r="E50" s="36">
        <v>0</v>
      </c>
      <c r="F50" s="36">
        <v>0</v>
      </c>
      <c r="G50" s="36">
        <v>0</v>
      </c>
      <c r="H50" s="36">
        <v>0</v>
      </c>
      <c r="I50" s="76">
        <v>0</v>
      </c>
    </row>
    <row r="51" spans="2:11" x14ac:dyDescent="0.25">
      <c r="B51" s="5" t="s">
        <v>4</v>
      </c>
      <c r="C51" s="36" t="e">
        <f>+#REF!/1000000</f>
        <v>#REF!</v>
      </c>
      <c r="D51" s="36" t="e">
        <f>+#REF!/1000000</f>
        <v>#REF!</v>
      </c>
      <c r="E51" s="36">
        <v>26310.496942999998</v>
      </c>
      <c r="F51" s="36">
        <v>36366.954454999999</v>
      </c>
      <c r="G51" s="36">
        <v>37815.080736999997</v>
      </c>
      <c r="H51" s="36">
        <v>38181.440384000001</v>
      </c>
      <c r="I51" s="76">
        <v>40072.785543999998</v>
      </c>
    </row>
    <row r="52" spans="2:11" x14ac:dyDescent="0.25">
      <c r="B52" s="5" t="s">
        <v>5</v>
      </c>
      <c r="C52" s="36" t="e">
        <f>+#REF!/1000000</f>
        <v>#REF!</v>
      </c>
      <c r="D52" s="36" t="e">
        <f>+#REF!/1000000</f>
        <v>#REF!</v>
      </c>
      <c r="E52" s="36">
        <v>2464.2737609999999</v>
      </c>
      <c r="F52" s="36">
        <v>5247.0095449999999</v>
      </c>
      <c r="G52" s="36">
        <v>5707.3022929999997</v>
      </c>
      <c r="H52" s="36">
        <v>5491.1874559999997</v>
      </c>
      <c r="I52" s="76">
        <v>5202.6874299999999</v>
      </c>
    </row>
    <row r="53" spans="2:11" x14ac:dyDescent="0.25">
      <c r="B53" s="5" t="s">
        <v>36</v>
      </c>
      <c r="C53" s="37" t="e">
        <f>+#REF!/1000000</f>
        <v>#REF!</v>
      </c>
      <c r="D53" s="37" t="e">
        <f>+#REF!/1000000</f>
        <v>#REF!</v>
      </c>
      <c r="E53" s="37">
        <v>4416.3323220000002</v>
      </c>
      <c r="F53" s="37">
        <v>2210.7256000000002</v>
      </c>
      <c r="G53" s="37">
        <v>2594.7658470000001</v>
      </c>
      <c r="H53" s="37">
        <v>2743.4905939999999</v>
      </c>
      <c r="I53" s="79">
        <v>1823.1909840000001</v>
      </c>
    </row>
    <row r="54" spans="2:11" s="4" customFormat="1" x14ac:dyDescent="0.25">
      <c r="B54" s="16" t="s">
        <v>24</v>
      </c>
      <c r="C54" s="17" t="e">
        <f t="shared" ref="C54:D54" si="13">SUM(C46:C53)</f>
        <v>#REF!</v>
      </c>
      <c r="D54" s="17" t="e">
        <f t="shared" si="13"/>
        <v>#REF!</v>
      </c>
      <c r="E54" s="17">
        <v>79787.033776000011</v>
      </c>
      <c r="F54" s="35">
        <v>91140.465068000005</v>
      </c>
      <c r="G54" s="17">
        <v>93617.296501999997</v>
      </c>
      <c r="H54" s="35">
        <v>92298.335739000002</v>
      </c>
      <c r="I54" s="87">
        <v>94559.887990000003</v>
      </c>
      <c r="K54" s="1"/>
    </row>
    <row r="55" spans="2:11" x14ac:dyDescent="0.25">
      <c r="B55" s="7"/>
      <c r="C55" s="6"/>
      <c r="D55" s="6"/>
      <c r="E55" s="6"/>
      <c r="F55" s="6"/>
      <c r="G55" s="6"/>
      <c r="H55" s="6"/>
      <c r="I55" s="75"/>
    </row>
    <row r="56" spans="2:11" x14ac:dyDescent="0.25">
      <c r="B56" s="7" t="s">
        <v>6</v>
      </c>
      <c r="C56" s="36" t="e">
        <f>(#REF!)/1000000</f>
        <v>#REF!</v>
      </c>
      <c r="D56" s="36" t="e">
        <f>(#REF!)/1000000</f>
        <v>#REF!</v>
      </c>
      <c r="E56" s="36">
        <v>24500</v>
      </c>
      <c r="F56" s="36">
        <v>24500</v>
      </c>
      <c r="G56" s="36">
        <v>24500</v>
      </c>
      <c r="H56" s="36">
        <v>24500</v>
      </c>
      <c r="I56" s="76">
        <v>24500</v>
      </c>
    </row>
    <row r="57" spans="2:11" x14ac:dyDescent="0.25">
      <c r="B57" s="7" t="s">
        <v>68</v>
      </c>
      <c r="C57" s="36" t="e">
        <f>SUM(#REF!)/1000000</f>
        <v>#REF!</v>
      </c>
      <c r="D57" s="36" t="e">
        <f>SUM(#REF!)/1000000</f>
        <v>#REF!</v>
      </c>
      <c r="E57" s="36">
        <v>2898.980094</v>
      </c>
      <c r="F57" s="36">
        <v>3325.8714500000001</v>
      </c>
      <c r="G57" s="36">
        <v>3640.5879209999998</v>
      </c>
      <c r="H57" s="36">
        <v>23249.798581999999</v>
      </c>
      <c r="I57" s="76">
        <v>23249.798581999999</v>
      </c>
    </row>
    <row r="58" spans="2:11" x14ac:dyDescent="0.25">
      <c r="B58" s="7" t="s">
        <v>7</v>
      </c>
      <c r="C58" s="36" t="e">
        <f>#REF!/1000000</f>
        <v>#REF!</v>
      </c>
      <c r="D58" s="36" t="e">
        <f>#REF!/1000000</f>
        <v>#REF!</v>
      </c>
      <c r="E58" s="36">
        <v>17491.740206999999</v>
      </c>
      <c r="F58" s="36">
        <v>18344.762415000001</v>
      </c>
      <c r="G58" s="36">
        <v>19609.210661000001</v>
      </c>
      <c r="H58" s="36">
        <v>-301.20490799999999</v>
      </c>
      <c r="I58" s="76">
        <v>-5640.3206570000002</v>
      </c>
    </row>
    <row r="59" spans="2:11" x14ac:dyDescent="0.25">
      <c r="B59" s="7" t="s">
        <v>73</v>
      </c>
      <c r="C59" s="36" t="e">
        <f>#REF!/1000000</f>
        <v>#REF!</v>
      </c>
      <c r="D59" s="36" t="e">
        <f>#REF!/1000000</f>
        <v>#REF!</v>
      </c>
      <c r="E59" s="36">
        <v>4268.9135640000004</v>
      </c>
      <c r="F59" s="36">
        <v>3147.1647170000001</v>
      </c>
      <c r="G59" s="36">
        <v>-301.20490799999999</v>
      </c>
      <c r="H59" s="36">
        <v>-5339.1157489999996</v>
      </c>
      <c r="I59" s="76">
        <v>1788.1782330000001</v>
      </c>
    </row>
    <row r="60" spans="2:11" s="4" customFormat="1" x14ac:dyDescent="0.25">
      <c r="B60" s="34" t="s">
        <v>67</v>
      </c>
      <c r="C60" s="38" t="e">
        <f t="shared" ref="C60:D60" si="14">SUM(C56:C58,C59)</f>
        <v>#REF!</v>
      </c>
      <c r="D60" s="38" t="e">
        <f t="shared" si="14"/>
        <v>#REF!</v>
      </c>
      <c r="E60" s="38">
        <v>49159.633864999996</v>
      </c>
      <c r="F60" s="38">
        <v>49317.798581999996</v>
      </c>
      <c r="G60" s="38">
        <v>47448.593674000003</v>
      </c>
      <c r="H60" s="38">
        <v>42109.477925000007</v>
      </c>
      <c r="I60" s="88">
        <v>43897.656157999998</v>
      </c>
    </row>
    <row r="61" spans="2:11" x14ac:dyDescent="0.25">
      <c r="B61" s="7" t="s">
        <v>100</v>
      </c>
      <c r="C61" s="36" t="e">
        <f>#REF!/1000000</f>
        <v>#REF!</v>
      </c>
      <c r="D61" s="36" t="e">
        <f>#REF!/1000000</f>
        <v>#REF!</v>
      </c>
      <c r="E61" s="36">
        <v>0</v>
      </c>
      <c r="F61" s="36">
        <v>0</v>
      </c>
      <c r="G61" s="36">
        <v>0</v>
      </c>
      <c r="H61" s="36">
        <v>0</v>
      </c>
      <c r="I61" s="76">
        <v>0</v>
      </c>
    </row>
    <row r="62" spans="2:11" x14ac:dyDescent="0.25">
      <c r="B62" s="7" t="s">
        <v>62</v>
      </c>
      <c r="C62" s="36" t="e">
        <f>#REF!/1000000</f>
        <v>#REF!</v>
      </c>
      <c r="D62" s="36" t="e">
        <f>#REF!/1000000</f>
        <v>#REF!</v>
      </c>
      <c r="E62" s="36">
        <v>0</v>
      </c>
      <c r="F62" s="36">
        <v>0</v>
      </c>
      <c r="G62" s="36">
        <v>0</v>
      </c>
      <c r="H62" s="36">
        <v>0</v>
      </c>
      <c r="I62" s="76">
        <v>0</v>
      </c>
    </row>
    <row r="63" spans="2:11" s="4" customFormat="1" x14ac:dyDescent="0.25">
      <c r="B63" s="34" t="s">
        <v>86</v>
      </c>
      <c r="C63" s="38" t="e">
        <f>C60+SUM(C61:C62)</f>
        <v>#REF!</v>
      </c>
      <c r="D63" s="38" t="e">
        <f t="shared" ref="D63" si="15">D60+SUM(D61:D62)</f>
        <v>#REF!</v>
      </c>
      <c r="E63" s="38">
        <v>49159.633864999996</v>
      </c>
      <c r="F63" s="38">
        <v>49317.798581999996</v>
      </c>
      <c r="G63" s="38">
        <v>47448.593674000003</v>
      </c>
      <c r="H63" s="38">
        <v>42109.477925000007</v>
      </c>
      <c r="I63" s="88">
        <v>43897.656157999998</v>
      </c>
    </row>
    <row r="64" spans="2:11" x14ac:dyDescent="0.25">
      <c r="B64" s="5" t="s">
        <v>37</v>
      </c>
      <c r="C64" s="36" t="e">
        <f>(#REF!)/1000000</f>
        <v>#REF!</v>
      </c>
      <c r="D64" s="36" t="e">
        <f>(#REF!)/1000000</f>
        <v>#REF!</v>
      </c>
      <c r="E64" s="36">
        <v>13010.843989000001</v>
      </c>
      <c r="F64" s="36">
        <v>15355.932499</v>
      </c>
      <c r="G64" s="36">
        <v>12600.264859000001</v>
      </c>
      <c r="H64" s="36">
        <v>13145.720664</v>
      </c>
      <c r="I64" s="76">
        <v>7174.3738670000002</v>
      </c>
    </row>
    <row r="65" spans="2:10" x14ac:dyDescent="0.25">
      <c r="B65" s="5" t="s">
        <v>27</v>
      </c>
      <c r="C65" s="36" t="e">
        <f>(#REF!)/1000000</f>
        <v>#REF!</v>
      </c>
      <c r="D65" s="36" t="e">
        <f>(#REF!)/1000000</f>
        <v>#REF!</v>
      </c>
      <c r="E65" s="36">
        <v>0</v>
      </c>
      <c r="F65" s="36">
        <v>0</v>
      </c>
      <c r="G65" s="36">
        <v>0</v>
      </c>
      <c r="H65" s="36">
        <v>0</v>
      </c>
      <c r="I65" s="76">
        <v>0</v>
      </c>
    </row>
    <row r="66" spans="2:10" x14ac:dyDescent="0.25">
      <c r="B66" s="5" t="s">
        <v>8</v>
      </c>
      <c r="C66" s="36" t="e">
        <f>(#REF!)/1000000</f>
        <v>#REF!</v>
      </c>
      <c r="D66" s="36" t="e">
        <f>(#REF!)/1000000</f>
        <v>#REF!</v>
      </c>
      <c r="E66" s="36">
        <v>457.00693999999999</v>
      </c>
      <c r="F66" s="36">
        <v>279.55120199999999</v>
      </c>
      <c r="G66" s="36">
        <v>348.32615500000003</v>
      </c>
      <c r="H66" s="36">
        <v>576.52699099999995</v>
      </c>
      <c r="I66" s="76">
        <v>697.24256000000003</v>
      </c>
    </row>
    <row r="67" spans="2:10" x14ac:dyDescent="0.25">
      <c r="B67" s="5" t="s">
        <v>9</v>
      </c>
      <c r="C67" s="36" t="e">
        <f>(#REF!)/1000000</f>
        <v>#REF!</v>
      </c>
      <c r="D67" s="36" t="e">
        <f>(#REF!)/1000000</f>
        <v>#REF!</v>
      </c>
      <c r="E67" s="36">
        <v>7337.9892540000001</v>
      </c>
      <c r="F67" s="36">
        <v>10659.817499999999</v>
      </c>
      <c r="G67" s="36">
        <v>12843.020327</v>
      </c>
      <c r="H67" s="36">
        <v>14811.232715</v>
      </c>
      <c r="I67" s="76">
        <v>20862.966199999999</v>
      </c>
    </row>
    <row r="68" spans="2:10" x14ac:dyDescent="0.25">
      <c r="B68" s="5" t="s">
        <v>10</v>
      </c>
      <c r="C68" s="36" t="e">
        <f>(#REF!)/1000000</f>
        <v>#REF!</v>
      </c>
      <c r="D68" s="36" t="e">
        <f>(#REF!)/1000000</f>
        <v>#REF!</v>
      </c>
      <c r="E68" s="36">
        <v>1500.155223</v>
      </c>
      <c r="F68" s="36">
        <v>2035.1190360000001</v>
      </c>
      <c r="G68" s="36">
        <v>1957.81672</v>
      </c>
      <c r="H68" s="36">
        <v>2297.3867230000001</v>
      </c>
      <c r="I68" s="76">
        <v>2408.9852329999999</v>
      </c>
    </row>
    <row r="69" spans="2:10" x14ac:dyDescent="0.25">
      <c r="B69" s="5" t="s">
        <v>11</v>
      </c>
      <c r="C69" s="36" t="e">
        <f>(#REF!)/1000000</f>
        <v>#REF!</v>
      </c>
      <c r="D69" s="36" t="e">
        <f>(#REF!)/1000000</f>
        <v>#REF!</v>
      </c>
      <c r="E69" s="36">
        <v>690.86730299999999</v>
      </c>
      <c r="F69" s="36">
        <v>0</v>
      </c>
      <c r="G69" s="36">
        <v>0</v>
      </c>
      <c r="H69" s="36">
        <v>0</v>
      </c>
      <c r="I69" s="76">
        <v>0</v>
      </c>
    </row>
    <row r="70" spans="2:10" x14ac:dyDescent="0.25">
      <c r="B70" s="5" t="s">
        <v>12</v>
      </c>
      <c r="C70" s="36" t="e">
        <f>(#REF!)/1000000+#REF!/1000000</f>
        <v>#REF!</v>
      </c>
      <c r="D70" s="36" t="e">
        <f>(#REF!)/1000000+#REF!/1000000</f>
        <v>#REF!</v>
      </c>
      <c r="E70" s="36">
        <v>1081.540626</v>
      </c>
      <c r="F70" s="36">
        <v>1314.0231839999999</v>
      </c>
      <c r="G70" s="36">
        <v>9112.1335309999995</v>
      </c>
      <c r="H70" s="36">
        <v>7951.9450310000002</v>
      </c>
      <c r="I70" s="76">
        <v>8646.0724759999994</v>
      </c>
    </row>
    <row r="71" spans="2:10" x14ac:dyDescent="0.25">
      <c r="B71" s="5" t="s">
        <v>38</v>
      </c>
      <c r="C71" s="37" t="e">
        <f>(#REF!)/1000000</f>
        <v>#REF!</v>
      </c>
      <c r="D71" s="37" t="e">
        <f>(#REF!)/1000000</f>
        <v>#REF!</v>
      </c>
      <c r="E71" s="37">
        <v>6548.9965759999995</v>
      </c>
      <c r="F71" s="37">
        <v>12178.223065</v>
      </c>
      <c r="G71" s="37">
        <v>9307.1412359999995</v>
      </c>
      <c r="H71" s="37">
        <v>11406.045690000001</v>
      </c>
      <c r="I71" s="79">
        <v>10872.591495999999</v>
      </c>
    </row>
    <row r="72" spans="2:10" s="4" customFormat="1" x14ac:dyDescent="0.25">
      <c r="B72" s="16" t="s">
        <v>25</v>
      </c>
      <c r="C72" s="17" t="e">
        <f t="shared" ref="C72:D72" si="16">SUM(C63:C71)</f>
        <v>#REF!</v>
      </c>
      <c r="D72" s="17" t="e">
        <f t="shared" si="16"/>
        <v>#REF!</v>
      </c>
      <c r="E72" s="17">
        <v>79787.033776000011</v>
      </c>
      <c r="F72" s="35">
        <v>91140.465068000005</v>
      </c>
      <c r="G72" s="17">
        <v>93617.296502000012</v>
      </c>
      <c r="H72" s="35">
        <v>92298.335739000002</v>
      </c>
      <c r="I72" s="87">
        <v>94559.887989999988</v>
      </c>
      <c r="J72" s="1"/>
    </row>
    <row r="73" spans="2:10" x14ac:dyDescent="0.25">
      <c r="B73" s="114"/>
      <c r="C73" s="136"/>
      <c r="D73" s="114"/>
      <c r="E73" s="114"/>
      <c r="F73" s="114"/>
      <c r="G73" s="137"/>
      <c r="H73" s="114"/>
      <c r="I73" s="114"/>
    </row>
    <row r="74" spans="2:10" x14ac:dyDescent="0.25">
      <c r="B74" s="114"/>
      <c r="C74" s="136"/>
      <c r="D74" s="114"/>
      <c r="E74" s="114"/>
      <c r="F74" s="114"/>
      <c r="G74" s="137"/>
      <c r="H74" s="114"/>
      <c r="I74" s="114"/>
    </row>
    <row r="75" spans="2:10" s="4" customFormat="1" x14ac:dyDescent="0.25">
      <c r="B75" s="2" t="s">
        <v>41</v>
      </c>
      <c r="C75" s="67">
        <v>2014</v>
      </c>
      <c r="D75" s="67">
        <v>2015</v>
      </c>
      <c r="E75" s="67">
        <v>2016</v>
      </c>
      <c r="F75" s="67">
        <v>2017</v>
      </c>
      <c r="G75" s="67">
        <v>2018</v>
      </c>
      <c r="H75" s="67">
        <v>2019</v>
      </c>
      <c r="I75" s="74">
        <v>2020</v>
      </c>
    </row>
    <row r="76" spans="2:10" x14ac:dyDescent="0.25">
      <c r="B76" s="5"/>
      <c r="C76" s="6"/>
      <c r="D76" s="6"/>
      <c r="E76" s="6"/>
      <c r="F76" s="6"/>
      <c r="G76" s="6"/>
      <c r="H76" s="6"/>
      <c r="I76" s="75"/>
    </row>
    <row r="77" spans="2:10" s="4" customFormat="1" x14ac:dyDescent="0.25">
      <c r="B77" s="43" t="s">
        <v>87</v>
      </c>
      <c r="C77" s="51"/>
      <c r="D77" s="51">
        <v>15291.174127</v>
      </c>
      <c r="E77" s="51">
        <v>15195.143339</v>
      </c>
      <c r="F77" s="51">
        <v>13361.058434</v>
      </c>
      <c r="G77" s="51">
        <v>10416.185348000001</v>
      </c>
      <c r="H77" s="51">
        <v>6245.9160359999996</v>
      </c>
      <c r="I77" s="89">
        <v>11007.009698</v>
      </c>
    </row>
    <row r="78" spans="2:10" x14ac:dyDescent="0.25">
      <c r="B78" s="44" t="s">
        <v>74</v>
      </c>
      <c r="C78" s="41"/>
      <c r="D78" s="41">
        <v>-1545.3827450000001</v>
      </c>
      <c r="E78" s="41">
        <v>582.09106699999995</v>
      </c>
      <c r="F78" s="41">
        <v>-9155.9287220000006</v>
      </c>
      <c r="G78" s="41">
        <v>8064.3667809999997</v>
      </c>
      <c r="H78" s="41">
        <v>1225.5499170000001</v>
      </c>
      <c r="I78" s="90">
        <v>5375.3298750000004</v>
      </c>
    </row>
    <row r="79" spans="2:10" x14ac:dyDescent="0.25">
      <c r="B79" s="44" t="s">
        <v>75</v>
      </c>
      <c r="C79" s="41"/>
      <c r="D79" s="41">
        <v>-10288.563929</v>
      </c>
      <c r="E79" s="41">
        <v>-12997.276892</v>
      </c>
      <c r="F79" s="41">
        <v>-11538</v>
      </c>
      <c r="G79" s="41">
        <v>-9828.5840950000002</v>
      </c>
      <c r="H79" s="41">
        <v>-10246.420615999999</v>
      </c>
      <c r="I79" s="90">
        <v>-11014.820002</v>
      </c>
    </row>
    <row r="80" spans="2:10" x14ac:dyDescent="0.25">
      <c r="B80" s="44" t="s">
        <v>76</v>
      </c>
      <c r="C80" s="41"/>
      <c r="D80" s="41">
        <v>-3455.6336040000001</v>
      </c>
      <c r="E80" s="41">
        <v>-3664.6342589999999</v>
      </c>
      <c r="F80" s="41">
        <v>-2512.5538980000001</v>
      </c>
      <c r="G80" s="41">
        <v>-3828.8459579999999</v>
      </c>
      <c r="H80" s="41">
        <v>-4593.6697050000002</v>
      </c>
      <c r="I80" s="90">
        <v>-5900.7421039999999</v>
      </c>
    </row>
    <row r="81" spans="2:9" x14ac:dyDescent="0.25">
      <c r="B81" s="44" t="s">
        <v>77</v>
      </c>
      <c r="C81" s="41"/>
      <c r="D81" s="41"/>
      <c r="E81" s="41"/>
      <c r="F81" s="41">
        <v>5000</v>
      </c>
      <c r="G81" s="41"/>
      <c r="H81" s="41">
        <v>5418.4446610000005</v>
      </c>
      <c r="I81" s="90">
        <v>146.377117</v>
      </c>
    </row>
    <row r="82" spans="2:9" x14ac:dyDescent="0.25">
      <c r="B82" s="44" t="s">
        <v>78</v>
      </c>
      <c r="C82" s="41"/>
      <c r="D82" s="41"/>
      <c r="E82" s="41"/>
      <c r="F82" s="41"/>
      <c r="G82" s="41"/>
      <c r="H82" s="41"/>
      <c r="I82" s="90"/>
    </row>
    <row r="83" spans="2:9" x14ac:dyDescent="0.25">
      <c r="B83" s="44" t="s">
        <v>79</v>
      </c>
      <c r="C83" s="41"/>
      <c r="D83" s="41">
        <v>-4005.75</v>
      </c>
      <c r="E83" s="41">
        <v>-4005.75</v>
      </c>
      <c r="F83" s="41">
        <v>-2989</v>
      </c>
      <c r="G83" s="41">
        <v>-1568</v>
      </c>
      <c r="H83" s="41"/>
      <c r="I83" s="90"/>
    </row>
    <row r="84" spans="2:9" x14ac:dyDescent="0.25">
      <c r="B84" s="43" t="s">
        <v>80</v>
      </c>
      <c r="C84" s="52">
        <f t="shared" ref="C84:H84" si="17">C77+SUM(C78:C83)</f>
        <v>0</v>
      </c>
      <c r="D84" s="52">
        <f t="shared" si="17"/>
        <v>-4004.156151000001</v>
      </c>
      <c r="E84" s="52">
        <v>-4890.4267449999988</v>
      </c>
      <c r="F84" s="52">
        <v>-7834.424186000002</v>
      </c>
      <c r="G84" s="52">
        <v>3255.1220760000006</v>
      </c>
      <c r="H84" s="52">
        <v>-1950.1797069999984</v>
      </c>
      <c r="I84" s="91">
        <v>-386.84541600000011</v>
      </c>
    </row>
    <row r="85" spans="2:9" x14ac:dyDescent="0.25">
      <c r="B85" s="44"/>
      <c r="C85" s="13"/>
      <c r="D85" s="13"/>
      <c r="E85" s="13"/>
      <c r="F85" s="13"/>
      <c r="G85" s="13"/>
      <c r="H85" s="13"/>
      <c r="I85" s="14"/>
    </row>
    <row r="86" spans="2:9" s="4" customFormat="1" x14ac:dyDescent="0.25">
      <c r="B86" s="130" t="s">
        <v>81</v>
      </c>
      <c r="C86" s="131"/>
      <c r="D86" s="131">
        <f>D87-D84</f>
        <v>6761.4186420000005</v>
      </c>
      <c r="E86" s="131">
        <v>2757.262491</v>
      </c>
      <c r="F86" s="131">
        <v>-2133.1642539999989</v>
      </c>
      <c r="G86" s="131">
        <v>-9967.5884400000014</v>
      </c>
      <c r="H86" s="131">
        <v>-6712.4663640000008</v>
      </c>
      <c r="I86" s="132">
        <v>-8662.6460709999992</v>
      </c>
    </row>
    <row r="87" spans="2:9" s="4" customFormat="1" x14ac:dyDescent="0.25">
      <c r="B87" s="133" t="s">
        <v>83</v>
      </c>
      <c r="C87" s="134"/>
      <c r="D87" s="134">
        <v>2757.262491</v>
      </c>
      <c r="E87" s="134">
        <v>-2133.1642539999989</v>
      </c>
      <c r="F87" s="134">
        <v>-9967.5884400000014</v>
      </c>
      <c r="G87" s="134">
        <v>-6712.4663640000008</v>
      </c>
      <c r="H87" s="134">
        <v>-8662.6460709999992</v>
      </c>
      <c r="I87" s="135">
        <v>-9049.4914869999993</v>
      </c>
    </row>
    <row r="88" spans="2:9" s="114" customFormat="1" x14ac:dyDescent="0.25">
      <c r="B88" s="138"/>
      <c r="C88" s="139"/>
      <c r="D88" s="139"/>
      <c r="E88" s="139"/>
      <c r="F88" s="139"/>
      <c r="G88" s="139"/>
      <c r="H88" s="139"/>
      <c r="I88" s="140"/>
    </row>
    <row r="89" spans="2:9" s="4" customFormat="1" x14ac:dyDescent="0.25">
      <c r="B89" s="18" t="s">
        <v>69</v>
      </c>
      <c r="C89" s="35" t="e">
        <f>C64+C53-C71</f>
        <v>#REF!</v>
      </c>
      <c r="D89" s="35" t="e">
        <f>D64+D71-D53</f>
        <v>#REF!</v>
      </c>
      <c r="E89" s="35">
        <v>15143.508242999998</v>
      </c>
      <c r="F89" s="35">
        <v>25323.429963999999</v>
      </c>
      <c r="G89" s="35">
        <v>19312.640248</v>
      </c>
      <c r="H89" s="35">
        <v>21808.27576</v>
      </c>
      <c r="I89" s="87">
        <v>16223.774378999999</v>
      </c>
    </row>
    <row r="90" spans="2:9" s="114" customFormat="1" x14ac:dyDescent="0.25"/>
    <row r="91" spans="2:9" x14ac:dyDescent="0.25">
      <c r="C91" s="15"/>
      <c r="G91" s="15"/>
      <c r="H91" s="1"/>
      <c r="I91" s="1"/>
    </row>
    <row r="92" spans="2:9" s="4" customFormat="1" x14ac:dyDescent="0.25">
      <c r="B92" s="2" t="s">
        <v>88</v>
      </c>
      <c r="C92" s="3">
        <v>42004</v>
      </c>
      <c r="D92" s="67">
        <v>2015</v>
      </c>
      <c r="E92" s="67">
        <v>2016</v>
      </c>
      <c r="F92" s="67">
        <v>2017</v>
      </c>
      <c r="G92" s="67">
        <v>2018</v>
      </c>
      <c r="H92" s="67">
        <v>2019</v>
      </c>
      <c r="I92" s="74">
        <v>2020</v>
      </c>
    </row>
    <row r="93" spans="2:9" x14ac:dyDescent="0.25">
      <c r="B93" s="7" t="s">
        <v>34</v>
      </c>
      <c r="C93" s="54"/>
      <c r="D93" s="54" t="s">
        <v>82</v>
      </c>
      <c r="E93" s="53">
        <v>10.626115935605625</v>
      </c>
      <c r="F93" s="53">
        <v>6.368031883983158</v>
      </c>
      <c r="G93" s="53">
        <v>4.4802560902271839E-2</v>
      </c>
      <c r="H93" s="53">
        <v>0.83551591961049976</v>
      </c>
      <c r="I93" s="97">
        <v>11.785418585070454</v>
      </c>
    </row>
    <row r="94" spans="2:9" x14ac:dyDescent="0.25">
      <c r="B94" s="7" t="s">
        <v>20</v>
      </c>
      <c r="C94" s="54"/>
      <c r="D94" s="54" t="s">
        <v>82</v>
      </c>
      <c r="E94" s="54" t="s">
        <v>82</v>
      </c>
      <c r="F94" s="54" t="s">
        <v>82</v>
      </c>
      <c r="G94" s="54" t="s">
        <v>82</v>
      </c>
      <c r="H94" s="54" t="s">
        <v>82</v>
      </c>
      <c r="I94" s="102" t="s">
        <v>82</v>
      </c>
    </row>
    <row r="95" spans="2:9" x14ac:dyDescent="0.25">
      <c r="B95" s="7" t="s">
        <v>21</v>
      </c>
      <c r="C95" s="54"/>
      <c r="D95" s="54" t="s">
        <v>82</v>
      </c>
      <c r="E95" s="55">
        <v>-31.763095004032373</v>
      </c>
      <c r="F95" s="55">
        <v>-82.527058982495305</v>
      </c>
      <c r="G95" s="55">
        <v>-81.805881536298344</v>
      </c>
      <c r="H95" s="55">
        <v>7360.0650391859717</v>
      </c>
      <c r="I95" s="95">
        <v>-17.014979778161571</v>
      </c>
    </row>
    <row r="96" spans="2:9" x14ac:dyDescent="0.25">
      <c r="B96" s="7" t="s">
        <v>30</v>
      </c>
      <c r="C96" s="54"/>
      <c r="D96" s="54" t="s">
        <v>82</v>
      </c>
      <c r="E96" s="55">
        <v>14.703906129304659</v>
      </c>
      <c r="F96" s="55">
        <v>15.437312876721956</v>
      </c>
      <c r="G96" s="55">
        <v>-8.3804785050442927</v>
      </c>
      <c r="H96" s="55">
        <v>-2.1135220414354934</v>
      </c>
      <c r="I96" s="95">
        <v>10.696407759828745</v>
      </c>
    </row>
    <row r="97" spans="2:9" x14ac:dyDescent="0.25">
      <c r="B97" s="5" t="s">
        <v>13</v>
      </c>
      <c r="C97" s="54"/>
      <c r="D97" s="54" t="s">
        <v>82</v>
      </c>
      <c r="E97" s="55">
        <v>45.253005765162854</v>
      </c>
      <c r="F97" s="55">
        <v>43.225635437321344</v>
      </c>
      <c r="G97" s="55">
        <v>-12.255378827451393</v>
      </c>
      <c r="H97" s="55">
        <v>2.3329984440511065</v>
      </c>
      <c r="I97" s="95">
        <v>4.0108908006594977</v>
      </c>
    </row>
    <row r="98" spans="2:9" x14ac:dyDescent="0.25">
      <c r="B98" s="5" t="s">
        <v>14</v>
      </c>
      <c r="C98" s="54"/>
      <c r="D98" s="54" t="s">
        <v>82</v>
      </c>
      <c r="E98" s="55">
        <v>8.8779463844099062</v>
      </c>
      <c r="F98" s="55">
        <v>-12.456911741444728</v>
      </c>
      <c r="G98" s="55">
        <v>-20.795272268097197</v>
      </c>
      <c r="H98" s="55">
        <v>19.212082150295537</v>
      </c>
      <c r="I98" s="95">
        <v>-6.6598976439347757</v>
      </c>
    </row>
    <row r="99" spans="2:9" x14ac:dyDescent="0.25">
      <c r="B99" s="5" t="s">
        <v>15</v>
      </c>
      <c r="C99" s="54"/>
      <c r="D99" s="54" t="s">
        <v>82</v>
      </c>
      <c r="E99" s="55">
        <v>-13.820311321138878</v>
      </c>
      <c r="F99" s="55">
        <v>21.884494801497599</v>
      </c>
      <c r="G99" s="55">
        <v>-0.38453586160625269</v>
      </c>
      <c r="H99" s="55">
        <v>10.623874696117708</v>
      </c>
      <c r="I99" s="95">
        <v>-0.824863857252503</v>
      </c>
    </row>
    <row r="100" spans="2:9" x14ac:dyDescent="0.25">
      <c r="B100" s="5" t="s">
        <v>17</v>
      </c>
      <c r="C100" s="54"/>
      <c r="D100" s="54" t="s">
        <v>82</v>
      </c>
      <c r="E100" s="55">
        <v>12.471681691055856</v>
      </c>
      <c r="F100" s="55">
        <v>-8.7434648218131468</v>
      </c>
      <c r="G100" s="55">
        <v>15.016291516718628</v>
      </c>
      <c r="H100" s="55">
        <v>181.97223198051694</v>
      </c>
      <c r="I100" s="95">
        <v>-3.6950872181955674</v>
      </c>
    </row>
    <row r="101" spans="2:9" x14ac:dyDescent="0.25">
      <c r="B101" s="7" t="s">
        <v>29</v>
      </c>
      <c r="C101" s="54"/>
      <c r="D101" s="54" t="s">
        <v>82</v>
      </c>
      <c r="E101" s="55">
        <v>5.9877959249828621</v>
      </c>
      <c r="F101" s="55">
        <v>-5.3358220263680183</v>
      </c>
      <c r="G101" s="55">
        <v>-6.1062978991490349</v>
      </c>
      <c r="H101" s="55">
        <v>-12.693202675651197</v>
      </c>
      <c r="I101" s="95">
        <v>24.086993971915508</v>
      </c>
    </row>
    <row r="102" spans="2:9" x14ac:dyDescent="0.25">
      <c r="B102" s="5" t="s">
        <v>16</v>
      </c>
      <c r="C102" s="54"/>
      <c r="D102" s="54" t="s">
        <v>82</v>
      </c>
      <c r="E102" s="55">
        <v>28.619232967582402</v>
      </c>
      <c r="F102" s="55">
        <v>18.461640356529497</v>
      </c>
      <c r="G102" s="55">
        <v>-19.142198558191648</v>
      </c>
      <c r="H102" s="55">
        <v>3.5513571969078428</v>
      </c>
      <c r="I102" s="95">
        <v>68.349027092743086</v>
      </c>
    </row>
    <row r="103" spans="2:9" x14ac:dyDescent="0.25">
      <c r="B103" s="5" t="s">
        <v>19</v>
      </c>
      <c r="C103" s="54"/>
      <c r="D103" s="54" t="s">
        <v>82</v>
      </c>
      <c r="E103" s="56">
        <v>5.8954460963312521</v>
      </c>
      <c r="F103" s="56">
        <v>10.782534920326714</v>
      </c>
      <c r="G103" s="56">
        <v>0.44893092532004192</v>
      </c>
      <c r="H103" s="56">
        <v>5.2169591870923586</v>
      </c>
      <c r="I103" s="98">
        <v>-0.42558486857426209</v>
      </c>
    </row>
    <row r="104" spans="2:9" x14ac:dyDescent="0.25">
      <c r="B104" s="8" t="s">
        <v>31</v>
      </c>
      <c r="C104" s="66"/>
      <c r="D104" s="66" t="s">
        <v>82</v>
      </c>
      <c r="E104" s="19">
        <v>4.8674355684299275</v>
      </c>
      <c r="F104" s="19">
        <v>-17.691558451384036</v>
      </c>
      <c r="G104" s="19">
        <v>-10.833699282909238</v>
      </c>
      <c r="H104" s="19">
        <v>-32.300194894442072</v>
      </c>
      <c r="I104" s="106">
        <v>57.245408088094422</v>
      </c>
    </row>
    <row r="105" spans="2:9" x14ac:dyDescent="0.25">
      <c r="B105" s="7" t="s">
        <v>18</v>
      </c>
      <c r="C105" s="54"/>
      <c r="D105" s="54" t="s">
        <v>82</v>
      </c>
      <c r="E105" s="53">
        <v>15.963184808751235</v>
      </c>
      <c r="F105" s="53">
        <v>-3.5747615052862844</v>
      </c>
      <c r="G105" s="53">
        <v>7.5175269125642634</v>
      </c>
      <c r="H105" s="53">
        <v>-12.662087178961546</v>
      </c>
      <c r="I105" s="97">
        <v>-3.6183905397139289</v>
      </c>
    </row>
    <row r="106" spans="2:9" x14ac:dyDescent="0.25">
      <c r="B106" s="7" t="s">
        <v>22</v>
      </c>
      <c r="C106" s="54"/>
      <c r="D106" s="54" t="s">
        <v>82</v>
      </c>
      <c r="E106" s="56">
        <v>-96.453748292870713</v>
      </c>
      <c r="F106" s="56">
        <v>-15.830773243833157</v>
      </c>
      <c r="G106" s="56">
        <v>-100</v>
      </c>
      <c r="H106" s="54" t="s">
        <v>82</v>
      </c>
      <c r="I106" s="102" t="s">
        <v>82</v>
      </c>
    </row>
    <row r="107" spans="2:9" x14ac:dyDescent="0.25">
      <c r="B107" s="8" t="s">
        <v>23</v>
      </c>
      <c r="C107" s="66"/>
      <c r="D107" s="66" t="s">
        <v>82</v>
      </c>
      <c r="E107" s="19">
        <v>-23.342958156497374</v>
      </c>
      <c r="F107" s="19">
        <v>-40.772956391115152</v>
      </c>
      <c r="G107" s="19">
        <v>-60.650411490724807</v>
      </c>
      <c r="H107" s="19">
        <v>-175.22064639366363</v>
      </c>
      <c r="I107" s="106">
        <v>-488.16983932363661</v>
      </c>
    </row>
    <row r="108" spans="2:9" x14ac:dyDescent="0.25">
      <c r="B108" s="5" t="s">
        <v>32</v>
      </c>
      <c r="C108" s="54"/>
      <c r="D108" s="54" t="s">
        <v>82</v>
      </c>
      <c r="E108" s="53">
        <v>7.016530218088354</v>
      </c>
      <c r="F108" s="53">
        <v>0.36983679200307179</v>
      </c>
      <c r="G108" s="53">
        <v>-34.708742679068223</v>
      </c>
      <c r="H108" s="53">
        <v>7.0992217042458172</v>
      </c>
      <c r="I108" s="97">
        <v>-0.60256511847552052</v>
      </c>
    </row>
    <row r="109" spans="2:9" x14ac:dyDescent="0.25">
      <c r="B109" s="5" t="s">
        <v>35</v>
      </c>
      <c r="C109" s="54"/>
      <c r="D109" s="54" t="s">
        <v>82</v>
      </c>
      <c r="E109" s="55">
        <v>12.217197718399502</v>
      </c>
      <c r="F109" s="55">
        <v>1954.1255521316266</v>
      </c>
      <c r="G109" s="55">
        <v>71.508158017227771</v>
      </c>
      <c r="H109" s="55">
        <v>699.58539151132959</v>
      </c>
      <c r="I109" s="95">
        <v>80.563413024064573</v>
      </c>
    </row>
    <row r="110" spans="2:9" x14ac:dyDescent="0.25">
      <c r="B110" s="5" t="s">
        <v>64</v>
      </c>
      <c r="C110" s="54"/>
      <c r="D110" s="54" t="s">
        <v>82</v>
      </c>
      <c r="E110" s="54" t="s">
        <v>82</v>
      </c>
      <c r="F110" s="54" t="s">
        <v>82</v>
      </c>
      <c r="G110" s="54" t="s">
        <v>82</v>
      </c>
      <c r="H110" s="54" t="s">
        <v>82</v>
      </c>
      <c r="I110" s="102" t="s">
        <v>82</v>
      </c>
    </row>
    <row r="111" spans="2:9" x14ac:dyDescent="0.25">
      <c r="B111" s="5" t="s">
        <v>33</v>
      </c>
      <c r="C111" s="54"/>
      <c r="D111" s="54" t="s">
        <v>82</v>
      </c>
      <c r="E111" s="57">
        <v>-28.196644675854621</v>
      </c>
      <c r="F111" s="57">
        <v>-10.485888904776006</v>
      </c>
      <c r="G111" s="57">
        <v>-65.701074518392019</v>
      </c>
      <c r="H111" s="57">
        <v>-100</v>
      </c>
      <c r="I111" s="102" t="s">
        <v>82</v>
      </c>
    </row>
    <row r="112" spans="2:9" x14ac:dyDescent="0.25">
      <c r="B112" s="10" t="s">
        <v>66</v>
      </c>
      <c r="C112" s="66"/>
      <c r="D112" s="66" t="s">
        <v>82</v>
      </c>
      <c r="E112" s="33">
        <v>-27.242758168891928</v>
      </c>
      <c r="F112" s="33">
        <v>-26.277150618831367</v>
      </c>
      <c r="G112" s="33">
        <v>-109.57067503880515</v>
      </c>
      <c r="H112" s="33">
        <v>1672.5859065350783</v>
      </c>
      <c r="I112" s="107">
        <v>-133.49202971175379</v>
      </c>
    </row>
    <row r="113" spans="2:9" x14ac:dyDescent="0.25">
      <c r="B113" s="20" t="s">
        <v>65</v>
      </c>
      <c r="C113" s="54"/>
      <c r="D113" s="54" t="s">
        <v>82</v>
      </c>
      <c r="E113" s="54" t="s">
        <v>82</v>
      </c>
      <c r="F113" s="54" t="s">
        <v>82</v>
      </c>
      <c r="G113" s="54" t="s">
        <v>82</v>
      </c>
      <c r="H113" s="54" t="s">
        <v>82</v>
      </c>
      <c r="I113" s="102" t="s">
        <v>82</v>
      </c>
    </row>
    <row r="114" spans="2:9" x14ac:dyDescent="0.25">
      <c r="B114" s="21" t="s">
        <v>89</v>
      </c>
      <c r="C114" s="66"/>
      <c r="D114" s="66" t="s">
        <v>82</v>
      </c>
      <c r="E114" s="22">
        <v>-28.196644675854621</v>
      </c>
      <c r="F114" s="22">
        <v>-10.485888904776006</v>
      </c>
      <c r="G114" s="22">
        <v>-65.701074518392019</v>
      </c>
      <c r="H114" s="22">
        <v>-100</v>
      </c>
      <c r="I114" s="115" t="s">
        <v>82</v>
      </c>
    </row>
    <row r="115" spans="2:9" x14ac:dyDescent="0.25">
      <c r="C115" s="15"/>
      <c r="G115" s="15"/>
      <c r="H115" s="1"/>
      <c r="I115" s="1"/>
    </row>
    <row r="116" spans="2:9" x14ac:dyDescent="0.25">
      <c r="C116" s="15"/>
      <c r="G116" s="15"/>
      <c r="H116" s="1"/>
      <c r="I116" s="1"/>
    </row>
    <row r="117" spans="2:9" s="4" customFormat="1" x14ac:dyDescent="0.25">
      <c r="B117" s="2" t="s">
        <v>39</v>
      </c>
      <c r="C117" s="67">
        <v>2014</v>
      </c>
      <c r="D117" s="67">
        <v>2015</v>
      </c>
      <c r="E117" s="67">
        <v>2016</v>
      </c>
      <c r="F117" s="67">
        <v>2017</v>
      </c>
      <c r="G117" s="67">
        <v>2018</v>
      </c>
      <c r="H117" s="67">
        <v>2019</v>
      </c>
      <c r="I117" s="74">
        <v>2020</v>
      </c>
    </row>
    <row r="118" spans="2:9" x14ac:dyDescent="0.25">
      <c r="B118" s="5" t="s">
        <v>63</v>
      </c>
      <c r="C118" s="58" t="s">
        <v>82</v>
      </c>
      <c r="D118" s="58" t="s">
        <v>82</v>
      </c>
      <c r="E118" s="54" t="s">
        <v>82</v>
      </c>
      <c r="F118" s="54" t="s">
        <v>82</v>
      </c>
      <c r="G118" s="54" t="s">
        <v>82</v>
      </c>
      <c r="H118" s="54" t="s">
        <v>82</v>
      </c>
      <c r="I118" s="102" t="s">
        <v>82</v>
      </c>
    </row>
    <row r="119" spans="2:9" x14ac:dyDescent="0.25">
      <c r="B119" s="7" t="s">
        <v>1</v>
      </c>
      <c r="C119" s="58" t="s">
        <v>82</v>
      </c>
      <c r="D119" s="58" t="s">
        <v>82</v>
      </c>
      <c r="E119" s="55">
        <v>-30.1490801373746</v>
      </c>
      <c r="F119" s="55">
        <v>-53.068234262402349</v>
      </c>
      <c r="G119" s="55">
        <v>-96.605750044257377</v>
      </c>
      <c r="H119" s="55">
        <v>-53.729535509785599</v>
      </c>
      <c r="I119" s="95">
        <v>-89.893454326680072</v>
      </c>
    </row>
    <row r="120" spans="2:9" x14ac:dyDescent="0.25">
      <c r="B120" s="7" t="s">
        <v>2</v>
      </c>
      <c r="C120" s="58" t="s">
        <v>82</v>
      </c>
      <c r="D120" s="58" t="s">
        <v>82</v>
      </c>
      <c r="E120" s="55">
        <v>7.109446455524286</v>
      </c>
      <c r="F120" s="55">
        <v>4.3395496042765336</v>
      </c>
      <c r="G120" s="55">
        <v>2.1587648219484872</v>
      </c>
      <c r="H120" s="55">
        <v>-6.1055428305128512</v>
      </c>
      <c r="I120" s="95">
        <v>3.956050470001272</v>
      </c>
    </row>
    <row r="121" spans="2:9" x14ac:dyDescent="0.25">
      <c r="B121" s="5" t="s">
        <v>3</v>
      </c>
      <c r="C121" s="58" t="s">
        <v>82</v>
      </c>
      <c r="D121" s="58" t="s">
        <v>82</v>
      </c>
      <c r="E121" s="55">
        <v>0</v>
      </c>
      <c r="F121" s="55">
        <v>-22.244317117996694</v>
      </c>
      <c r="G121" s="55">
        <v>-6.2534511171919647</v>
      </c>
      <c r="H121" s="55">
        <v>1269.5850377079942</v>
      </c>
      <c r="I121" s="95">
        <v>-12.128722732531969</v>
      </c>
    </row>
    <row r="122" spans="2:9" x14ac:dyDescent="0.25">
      <c r="B122" s="5" t="s">
        <v>4</v>
      </c>
      <c r="C122" s="58" t="s">
        <v>82</v>
      </c>
      <c r="D122" s="58" t="s">
        <v>82</v>
      </c>
      <c r="E122" s="55">
        <v>14.299017281367208</v>
      </c>
      <c r="F122" s="55">
        <v>38.222225653079342</v>
      </c>
      <c r="G122" s="55">
        <v>3.9819839293716228</v>
      </c>
      <c r="H122" s="55">
        <v>0.96881889410206068</v>
      </c>
      <c r="I122" s="95">
        <v>4.9535720522282043</v>
      </c>
    </row>
    <row r="123" spans="2:9" x14ac:dyDescent="0.25">
      <c r="B123" s="5" t="s">
        <v>5</v>
      </c>
      <c r="C123" s="58" t="s">
        <v>82</v>
      </c>
      <c r="D123" s="58" t="s">
        <v>82</v>
      </c>
      <c r="E123" s="55">
        <v>-31.671013959726107</v>
      </c>
      <c r="F123" s="55">
        <v>112.92315927069598</v>
      </c>
      <c r="G123" s="55">
        <v>8.7724778095481799</v>
      </c>
      <c r="H123" s="55">
        <v>-3.7866372921067226</v>
      </c>
      <c r="I123" s="95">
        <v>-5.2538731979504236</v>
      </c>
    </row>
    <row r="124" spans="2:9" x14ac:dyDescent="0.25">
      <c r="B124" s="5" t="s">
        <v>36</v>
      </c>
      <c r="C124" s="58" t="s">
        <v>82</v>
      </c>
      <c r="D124" s="58" t="s">
        <v>82</v>
      </c>
      <c r="E124" s="57">
        <v>22.156505034715721</v>
      </c>
      <c r="F124" s="57">
        <v>-49.942046050582512</v>
      </c>
      <c r="G124" s="57">
        <v>17.371683170448645</v>
      </c>
      <c r="H124" s="57">
        <v>5.7317213101117153</v>
      </c>
      <c r="I124" s="103">
        <v>-33.5448429097111</v>
      </c>
    </row>
    <row r="125" spans="2:9" x14ac:dyDescent="0.25">
      <c r="B125" s="23" t="s">
        <v>24</v>
      </c>
      <c r="C125" s="66" t="s">
        <v>82</v>
      </c>
      <c r="D125" s="66" t="s">
        <v>82</v>
      </c>
      <c r="E125" s="24">
        <v>7.1103815033997613</v>
      </c>
      <c r="F125" s="24">
        <v>14.229669602550274</v>
      </c>
      <c r="G125" s="24">
        <v>2.717597975994555</v>
      </c>
      <c r="H125" s="24">
        <v>-1.4088857639376693</v>
      </c>
      <c r="I125" s="104">
        <v>2.4502633041999675</v>
      </c>
    </row>
    <row r="126" spans="2:9" x14ac:dyDescent="0.25">
      <c r="B126" s="7" t="s">
        <v>6</v>
      </c>
      <c r="C126" s="58" t="s">
        <v>82</v>
      </c>
      <c r="D126" s="58" t="s">
        <v>82</v>
      </c>
      <c r="E126" s="59">
        <v>0</v>
      </c>
      <c r="F126" s="59">
        <v>0</v>
      </c>
      <c r="G126" s="59">
        <v>0</v>
      </c>
      <c r="H126" s="59">
        <v>0</v>
      </c>
      <c r="I126" s="105">
        <v>0</v>
      </c>
    </row>
    <row r="127" spans="2:9" x14ac:dyDescent="0.25">
      <c r="B127" s="7" t="s">
        <v>68</v>
      </c>
      <c r="C127" s="58" t="s">
        <v>82</v>
      </c>
      <c r="D127" s="58" t="s">
        <v>82</v>
      </c>
      <c r="E127" s="55">
        <v>25.375058299694299</v>
      </c>
      <c r="F127" s="55">
        <v>14.725570447466483</v>
      </c>
      <c r="G127" s="55">
        <v>9.4626769474207943</v>
      </c>
      <c r="H127" s="55">
        <v>538.62758121808326</v>
      </c>
      <c r="I127" s="95">
        <v>0</v>
      </c>
    </row>
    <row r="128" spans="2:9" x14ac:dyDescent="0.25">
      <c r="B128" s="7" t="s">
        <v>7</v>
      </c>
      <c r="C128" s="58" t="s">
        <v>82</v>
      </c>
      <c r="D128" s="58" t="s">
        <v>82</v>
      </c>
      <c r="E128" s="54" t="s">
        <v>82</v>
      </c>
      <c r="F128" s="54" t="s">
        <v>82</v>
      </c>
      <c r="G128" s="54" t="s">
        <v>82</v>
      </c>
      <c r="H128" s="54" t="s">
        <v>82</v>
      </c>
      <c r="I128" s="102" t="s">
        <v>82</v>
      </c>
    </row>
    <row r="129" spans="2:9" x14ac:dyDescent="0.25">
      <c r="B129" s="7" t="s">
        <v>90</v>
      </c>
      <c r="C129" s="58" t="s">
        <v>82</v>
      </c>
      <c r="D129" s="58" t="s">
        <v>82</v>
      </c>
      <c r="E129" s="55">
        <v>-27.242758168891999</v>
      </c>
      <c r="F129" s="55">
        <v>-26.277150618831318</v>
      </c>
      <c r="G129" s="55">
        <v>-109.57067503880511</v>
      </c>
      <c r="H129" s="55">
        <v>1672.5859065350953</v>
      </c>
      <c r="I129" s="95">
        <v>-133.49202971175367</v>
      </c>
    </row>
    <row r="130" spans="2:9" x14ac:dyDescent="0.25">
      <c r="B130" s="34" t="s">
        <v>67</v>
      </c>
      <c r="C130" s="58" t="s">
        <v>82</v>
      </c>
      <c r="D130" s="58" t="s">
        <v>82</v>
      </c>
      <c r="E130" s="55">
        <v>0.53820564629717293</v>
      </c>
      <c r="F130" s="55">
        <v>0.32173697109775995</v>
      </c>
      <c r="G130" s="55">
        <v>-3.7901223528704189</v>
      </c>
      <c r="H130" s="55">
        <v>-11.252421485203314</v>
      </c>
      <c r="I130" s="95">
        <v>4.2464982258504005</v>
      </c>
    </row>
    <row r="131" spans="2:9" x14ac:dyDescent="0.25">
      <c r="B131" s="7" t="s">
        <v>62</v>
      </c>
      <c r="C131" s="58" t="s">
        <v>82</v>
      </c>
      <c r="D131" s="58" t="s">
        <v>82</v>
      </c>
      <c r="E131" s="54" t="s">
        <v>82</v>
      </c>
      <c r="F131" s="54" t="s">
        <v>82</v>
      </c>
      <c r="G131" s="54" t="s">
        <v>82</v>
      </c>
      <c r="H131" s="54" t="s">
        <v>82</v>
      </c>
      <c r="I131" s="102" t="s">
        <v>82</v>
      </c>
    </row>
    <row r="132" spans="2:9" x14ac:dyDescent="0.25">
      <c r="B132" s="34" t="s">
        <v>86</v>
      </c>
      <c r="C132" s="58" t="s">
        <v>82</v>
      </c>
      <c r="D132" s="58" t="s">
        <v>82</v>
      </c>
      <c r="E132" s="55">
        <v>0.53820564629717293</v>
      </c>
      <c r="F132" s="55">
        <v>0.32173697109775995</v>
      </c>
      <c r="G132" s="55">
        <v>-3.7901223528704189</v>
      </c>
      <c r="H132" s="55">
        <v>-11.252421485203314</v>
      </c>
      <c r="I132" s="95">
        <v>4.2464982258504005</v>
      </c>
    </row>
    <row r="133" spans="2:9" x14ac:dyDescent="0.25">
      <c r="B133" s="5" t="s">
        <v>37</v>
      </c>
      <c r="C133" s="58" t="s">
        <v>82</v>
      </c>
      <c r="D133" s="58" t="s">
        <v>82</v>
      </c>
      <c r="E133" s="55">
        <v>-20.664499383136224</v>
      </c>
      <c r="F133" s="55">
        <v>18.024107521254205</v>
      </c>
      <c r="G133" s="55">
        <v>-17.945296647920618</v>
      </c>
      <c r="H133" s="55">
        <v>4.328923329023489</v>
      </c>
      <c r="I133" s="95">
        <v>-45.424263527466657</v>
      </c>
    </row>
    <row r="134" spans="2:9" x14ac:dyDescent="0.25">
      <c r="B134" s="5" t="s">
        <v>27</v>
      </c>
      <c r="C134" s="58" t="s">
        <v>82</v>
      </c>
      <c r="D134" s="58" t="s">
        <v>82</v>
      </c>
      <c r="E134" s="54" t="s">
        <v>82</v>
      </c>
      <c r="F134" s="54" t="s">
        <v>82</v>
      </c>
      <c r="G134" s="54" t="s">
        <v>82</v>
      </c>
      <c r="H134" s="54" t="s">
        <v>82</v>
      </c>
      <c r="I134" s="102" t="s">
        <v>82</v>
      </c>
    </row>
    <row r="135" spans="2:9" x14ac:dyDescent="0.25">
      <c r="B135" s="5" t="s">
        <v>8</v>
      </c>
      <c r="C135" s="58" t="s">
        <v>82</v>
      </c>
      <c r="D135" s="58" t="s">
        <v>82</v>
      </c>
      <c r="E135" s="55">
        <v>87.708961928891981</v>
      </c>
      <c r="F135" s="55">
        <v>-38.82998757086709</v>
      </c>
      <c r="G135" s="54" t="s">
        <v>82</v>
      </c>
      <c r="H135" s="55">
        <v>65.513551803194318</v>
      </c>
      <c r="I135" s="95">
        <v>20.93840720112965</v>
      </c>
    </row>
    <row r="136" spans="2:9" x14ac:dyDescent="0.25">
      <c r="B136" s="5" t="s">
        <v>9</v>
      </c>
      <c r="C136" s="58" t="s">
        <v>82</v>
      </c>
      <c r="D136" s="58" t="s">
        <v>82</v>
      </c>
      <c r="E136" s="55">
        <v>54.950291440829957</v>
      </c>
      <c r="F136" s="55">
        <v>45.268916742951653</v>
      </c>
      <c r="G136" s="55">
        <v>20.480677338050125</v>
      </c>
      <c r="H136" s="55">
        <v>15.325152011651097</v>
      </c>
      <c r="I136" s="95">
        <v>40.859080411795411</v>
      </c>
    </row>
    <row r="137" spans="2:9" x14ac:dyDescent="0.25">
      <c r="B137" s="5" t="s">
        <v>10</v>
      </c>
      <c r="C137" s="58" t="s">
        <v>82</v>
      </c>
      <c r="D137" s="58" t="s">
        <v>82</v>
      </c>
      <c r="E137" s="55">
        <v>-8.2268173747534945</v>
      </c>
      <c r="F137" s="55">
        <v>35.660563973518897</v>
      </c>
      <c r="G137" s="55">
        <v>-3.798417420925742</v>
      </c>
      <c r="H137" s="55">
        <v>17.344320310023711</v>
      </c>
      <c r="I137" s="95">
        <v>4.8576284037313036</v>
      </c>
    </row>
    <row r="138" spans="2:9" x14ac:dyDescent="0.25">
      <c r="B138" s="5" t="s">
        <v>11</v>
      </c>
      <c r="C138" s="58" t="s">
        <v>82</v>
      </c>
      <c r="D138" s="58" t="s">
        <v>82</v>
      </c>
      <c r="E138" s="55">
        <v>-23.644315932904291</v>
      </c>
      <c r="F138" s="55">
        <v>-100</v>
      </c>
      <c r="G138" s="54" t="s">
        <v>82</v>
      </c>
      <c r="H138" s="54" t="s">
        <v>82</v>
      </c>
      <c r="I138" s="102" t="s">
        <v>82</v>
      </c>
    </row>
    <row r="139" spans="2:9" x14ac:dyDescent="0.25">
      <c r="B139" s="5" t="s">
        <v>12</v>
      </c>
      <c r="C139" s="58" t="s">
        <v>82</v>
      </c>
      <c r="D139" s="58" t="s">
        <v>82</v>
      </c>
      <c r="E139" s="55">
        <v>32.285491956236662</v>
      </c>
      <c r="F139" s="55">
        <v>21.49549932856613</v>
      </c>
      <c r="G139" s="55">
        <v>593.45302593991369</v>
      </c>
      <c r="H139" s="55">
        <v>-12.73234743600905</v>
      </c>
      <c r="I139" s="95">
        <v>8.7290272039608006</v>
      </c>
    </row>
    <row r="140" spans="2:9" x14ac:dyDescent="0.25">
      <c r="B140" s="5" t="s">
        <v>38</v>
      </c>
      <c r="C140" s="58" t="s">
        <v>82</v>
      </c>
      <c r="D140" s="58" t="s">
        <v>82</v>
      </c>
      <c r="E140" s="57">
        <v>663.24697942315129</v>
      </c>
      <c r="F140" s="57">
        <v>85.955557063952895</v>
      </c>
      <c r="G140" s="57">
        <v>-23.575539827739235</v>
      </c>
      <c r="H140" s="57">
        <v>22.551548330237477</v>
      </c>
      <c r="I140" s="103">
        <v>-4.6769424610292063</v>
      </c>
    </row>
    <row r="141" spans="2:9" x14ac:dyDescent="0.25">
      <c r="B141" s="16" t="s">
        <v>25</v>
      </c>
      <c r="C141" s="66" t="s">
        <v>82</v>
      </c>
      <c r="D141" s="66" t="s">
        <v>82</v>
      </c>
      <c r="E141" s="24">
        <v>7.1103815033997613</v>
      </c>
      <c r="F141" s="24">
        <v>14.229669602550274</v>
      </c>
      <c r="G141" s="24">
        <v>2.717597975994571</v>
      </c>
      <c r="H141" s="24">
        <v>-1.4088857639376844</v>
      </c>
      <c r="I141" s="104">
        <v>2.450263304199952</v>
      </c>
    </row>
    <row r="142" spans="2:9" x14ac:dyDescent="0.25">
      <c r="C142" s="15"/>
      <c r="G142" s="15"/>
      <c r="H142" s="1"/>
      <c r="I142" s="1"/>
    </row>
    <row r="143" spans="2:9" s="4" customFormat="1" x14ac:dyDescent="0.25">
      <c r="B143" s="2" t="s">
        <v>60</v>
      </c>
      <c r="C143" s="67">
        <v>2014</v>
      </c>
      <c r="D143" s="67">
        <v>2015</v>
      </c>
      <c r="E143" s="67">
        <v>2016</v>
      </c>
      <c r="F143" s="67">
        <v>2017</v>
      </c>
      <c r="G143" s="67">
        <v>2018</v>
      </c>
      <c r="H143" s="67">
        <v>2019</v>
      </c>
      <c r="I143" s="74">
        <v>2020</v>
      </c>
    </row>
    <row r="144" spans="2:9" x14ac:dyDescent="0.25">
      <c r="B144" s="49"/>
      <c r="C144" s="50"/>
      <c r="D144" s="50"/>
      <c r="E144" s="50"/>
      <c r="F144" s="50"/>
      <c r="G144" s="50"/>
      <c r="H144" s="50"/>
      <c r="I144" s="92"/>
    </row>
    <row r="145" spans="2:10" s="4" customFormat="1" x14ac:dyDescent="0.25">
      <c r="B145" s="25" t="s">
        <v>42</v>
      </c>
      <c r="C145" s="9"/>
      <c r="D145" s="9"/>
      <c r="E145" s="9"/>
      <c r="F145" s="9"/>
      <c r="G145" s="9"/>
      <c r="H145" s="9"/>
      <c r="I145" s="78"/>
    </row>
    <row r="146" spans="2:10" x14ac:dyDescent="0.25">
      <c r="B146" s="7" t="s">
        <v>51</v>
      </c>
      <c r="C146" s="60"/>
      <c r="D146" s="108" t="e">
        <f t="shared" ref="D146:H146" si="18">D36*100/D5</f>
        <v>#REF!</v>
      </c>
      <c r="E146" s="60">
        <v>8.0851776365629906</v>
      </c>
      <c r="F146" s="60">
        <v>5.6037732631027559</v>
      </c>
      <c r="G146" s="60">
        <v>-0.53607875191370236</v>
      </c>
      <c r="H146" s="60">
        <v>-9.4237197258227106</v>
      </c>
      <c r="I146" s="93">
        <v>2.8234407049458157</v>
      </c>
      <c r="J146" s="4"/>
    </row>
    <row r="147" spans="2:10" x14ac:dyDescent="0.25">
      <c r="B147" s="7" t="s">
        <v>52</v>
      </c>
      <c r="C147" s="61"/>
      <c r="D147" s="109" t="e">
        <f t="shared" ref="D147:H147" si="19">D5*100/D54</f>
        <v>#REF!</v>
      </c>
      <c r="E147" s="109">
        <v>66.175232467260926</v>
      </c>
      <c r="F147" s="109">
        <v>61.620849132268326</v>
      </c>
      <c r="G147" s="109">
        <v>60.017424536287116</v>
      </c>
      <c r="H147" s="109">
        <v>61.383705967582635</v>
      </c>
      <c r="I147" s="112">
        <v>66.976921723614652</v>
      </c>
      <c r="J147" s="4"/>
    </row>
    <row r="148" spans="2:10" x14ac:dyDescent="0.25">
      <c r="B148" s="7" t="s">
        <v>53</v>
      </c>
      <c r="C148" s="62"/>
      <c r="D148" s="110" t="e">
        <f t="shared" ref="D148:H148" si="20">D54*100/D63</f>
        <v>#REF!</v>
      </c>
      <c r="E148" s="110">
        <v>162.30192843809135</v>
      </c>
      <c r="F148" s="110">
        <v>184.80237903657044</v>
      </c>
      <c r="G148" s="110">
        <v>197.30257369735</v>
      </c>
      <c r="H148" s="110">
        <v>219.18660664325958</v>
      </c>
      <c r="I148" s="113">
        <v>215.4098789458198</v>
      </c>
      <c r="J148" s="4"/>
    </row>
    <row r="149" spans="2:10" x14ac:dyDescent="0.25">
      <c r="B149" s="7" t="s">
        <v>54</v>
      </c>
      <c r="C149" s="62"/>
      <c r="D149" s="110" t="e">
        <f t="shared" ref="D149:H149" si="21">D36*100/D63</f>
        <v>#REF!</v>
      </c>
      <c r="E149" s="62">
        <v>8.6837781902996056</v>
      </c>
      <c r="F149" s="62">
        <v>6.3813974011172832</v>
      </c>
      <c r="G149" s="62">
        <v>-0.63480260357021068</v>
      </c>
      <c r="H149" s="62">
        <v>-12.679130713777399</v>
      </c>
      <c r="I149" s="94">
        <v>4.0735164232091252</v>
      </c>
    </row>
    <row r="150" spans="2:10" x14ac:dyDescent="0.25">
      <c r="B150" s="7" t="s">
        <v>55</v>
      </c>
      <c r="C150" s="62"/>
      <c r="D150" s="110" t="e">
        <f t="shared" ref="D150:H150" si="22">D36*100/D54</f>
        <v>#REF!</v>
      </c>
      <c r="E150" s="62">
        <v>5.3503850963865514</v>
      </c>
      <c r="F150" s="62">
        <v>3.4530926681709389</v>
      </c>
      <c r="G150" s="62">
        <v>-0.32174066038487614</v>
      </c>
      <c r="H150" s="62">
        <v>-5.7846284077080972</v>
      </c>
      <c r="I150" s="94">
        <v>1.8910536708642329</v>
      </c>
    </row>
    <row r="151" spans="2:10" x14ac:dyDescent="0.25">
      <c r="B151" s="7" t="s">
        <v>56</v>
      </c>
      <c r="C151" s="55"/>
      <c r="D151" s="36" t="e">
        <f>(#REF!/#REF!)*100</f>
        <v>#REF!</v>
      </c>
      <c r="E151" s="36">
        <v>88.976069512385394</v>
      </c>
      <c r="F151" s="36">
        <v>94.342737830838814</v>
      </c>
      <c r="G151" s="36">
        <v>97.568820715032061</v>
      </c>
      <c r="H151" s="36">
        <v>101.86823431722189</v>
      </c>
      <c r="I151" s="76">
        <v>93.483037822004249</v>
      </c>
    </row>
    <row r="152" spans="2:10" x14ac:dyDescent="0.25">
      <c r="B152" s="63"/>
      <c r="C152" s="64"/>
      <c r="D152" s="64"/>
      <c r="E152" s="64"/>
      <c r="F152" s="64"/>
      <c r="G152" s="64"/>
      <c r="H152" s="64"/>
      <c r="I152" s="96"/>
    </row>
    <row r="153" spans="2:10" s="4" customFormat="1" x14ac:dyDescent="0.25">
      <c r="B153" s="25" t="s">
        <v>43</v>
      </c>
      <c r="C153" s="9"/>
      <c r="D153" s="9"/>
      <c r="E153" s="9"/>
      <c r="F153" s="9"/>
      <c r="G153" s="9"/>
      <c r="H153" s="9"/>
      <c r="I153" s="78"/>
    </row>
    <row r="154" spans="2:10" x14ac:dyDescent="0.25">
      <c r="B154" s="7" t="s">
        <v>57</v>
      </c>
      <c r="C154" s="53"/>
      <c r="D154" s="53" t="e">
        <f t="shared" ref="D154:G154" si="23">((D52+D51)/(D70+D69+D68+D67+D66+D65))*100</f>
        <v>#REF!</v>
      </c>
      <c r="E154" s="53">
        <v>259.9920163464015</v>
      </c>
      <c r="F154" s="53">
        <v>291.2407333917983</v>
      </c>
      <c r="G154" s="53">
        <v>179.39017649786723</v>
      </c>
      <c r="H154" s="53">
        <v>170.34938580353295</v>
      </c>
      <c r="I154" s="97">
        <v>138.81681149848404</v>
      </c>
    </row>
    <row r="155" spans="2:10" x14ac:dyDescent="0.25">
      <c r="B155" s="7" t="s">
        <v>58</v>
      </c>
      <c r="C155" s="55"/>
      <c r="D155" s="55" t="e">
        <f t="shared" ref="D155:G155" si="24">((D51+D52)/D54)*100</f>
        <v>#REF!</v>
      </c>
      <c r="E155" s="55">
        <v>36.064469804435149</v>
      </c>
      <c r="F155" s="55">
        <v>45.659152571749303</v>
      </c>
      <c r="G155" s="55">
        <v>46.489681561216841</v>
      </c>
      <c r="H155" s="55">
        <v>47.316809658948642</v>
      </c>
      <c r="I155" s="95">
        <v>47.880210030269929</v>
      </c>
    </row>
    <row r="156" spans="2:10" x14ac:dyDescent="0.25">
      <c r="B156" s="7" t="s">
        <v>101</v>
      </c>
      <c r="C156" s="55"/>
      <c r="D156" s="55" t="e">
        <f>(D63+D64)/SUM(D46:D49)*100</f>
        <v>#REF!</v>
      </c>
      <c r="E156" s="55">
        <v>133.42469364451958</v>
      </c>
      <c r="F156" s="55">
        <v>136.68534530251821</v>
      </c>
      <c r="G156" s="55">
        <v>126.41825664852342</v>
      </c>
      <c r="H156" s="55">
        <v>120.42835293179826</v>
      </c>
      <c r="I156" s="95">
        <v>107.60790743737556</v>
      </c>
    </row>
    <row r="157" spans="2:10" x14ac:dyDescent="0.25">
      <c r="B157" s="7" t="s">
        <v>49</v>
      </c>
      <c r="C157" s="55"/>
      <c r="D157" s="55" t="e">
        <f t="shared" ref="D157:G157" si="25">D51/(-D11/360)</f>
        <v>#REF!</v>
      </c>
      <c r="E157" s="55">
        <v>436.36382865048563</v>
      </c>
      <c r="F157" s="55">
        <v>421.11999996651656</v>
      </c>
      <c r="G157" s="55">
        <v>499.049314746542</v>
      </c>
      <c r="H157" s="55">
        <v>492.39659392388836</v>
      </c>
      <c r="I157" s="95">
        <v>496.85932887265386</v>
      </c>
    </row>
    <row r="158" spans="2:10" x14ac:dyDescent="0.25">
      <c r="B158" s="7" t="s">
        <v>48</v>
      </c>
      <c r="C158" s="55"/>
      <c r="D158" s="55" t="e">
        <f t="shared" ref="D158:G158" si="26">D5/D51</f>
        <v>#REF!</v>
      </c>
      <c r="E158" s="55">
        <v>2.0067752879919447</v>
      </c>
      <c r="F158" s="55">
        <v>1.5443011195092939</v>
      </c>
      <c r="G158" s="55">
        <v>1.4858275901028128</v>
      </c>
      <c r="H158" s="55">
        <v>1.4838659425415983</v>
      </c>
      <c r="I158" s="95">
        <v>1.5804566940189348</v>
      </c>
    </row>
    <row r="159" spans="2:10" x14ac:dyDescent="0.25">
      <c r="B159" s="7" t="s">
        <v>70</v>
      </c>
      <c r="C159" s="55"/>
      <c r="D159" s="55" t="e">
        <f t="shared" ref="D159:G159" si="27">(D52/(D5*1.2))*360</f>
        <v>#REF!</v>
      </c>
      <c r="E159" s="55">
        <v>14.00175300162587</v>
      </c>
      <c r="F159" s="55">
        <v>28.028134314695848</v>
      </c>
      <c r="G159" s="55">
        <v>30.473243384456683</v>
      </c>
      <c r="H159" s="55">
        <v>29.076394283261042</v>
      </c>
      <c r="I159" s="95">
        <v>24.644321008752467</v>
      </c>
    </row>
    <row r="160" spans="2:10" x14ac:dyDescent="0.25">
      <c r="B160" s="7" t="s">
        <v>71</v>
      </c>
      <c r="C160" s="56"/>
      <c r="D160" s="56" t="e">
        <f t="shared" ref="D160:G160" si="28">(D67/(D5*1.2))*360</f>
        <v>#REF!</v>
      </c>
      <c r="E160" s="56">
        <v>41.693708990107972</v>
      </c>
      <c r="F160" s="56">
        <v>56.941919792170935</v>
      </c>
      <c r="G160" s="56">
        <v>68.573288065748415</v>
      </c>
      <c r="H160" s="56">
        <v>78.426978808001365</v>
      </c>
      <c r="I160" s="98">
        <v>98.82462537780259</v>
      </c>
    </row>
    <row r="161" spans="2:9" x14ac:dyDescent="0.25">
      <c r="B161" s="63"/>
      <c r="C161" s="64"/>
      <c r="D161" s="64"/>
      <c r="E161" s="64"/>
      <c r="F161" s="64"/>
      <c r="G161" s="64"/>
      <c r="H161" s="64"/>
      <c r="I161" s="96"/>
    </row>
    <row r="162" spans="2:9" s="4" customFormat="1" x14ac:dyDescent="0.25">
      <c r="B162" s="25" t="s">
        <v>44</v>
      </c>
      <c r="C162" s="9"/>
      <c r="D162" s="9"/>
      <c r="E162" s="9"/>
      <c r="F162" s="9"/>
      <c r="G162" s="9"/>
      <c r="H162" s="9"/>
      <c r="I162" s="78"/>
    </row>
    <row r="163" spans="2:9" x14ac:dyDescent="0.25">
      <c r="B163" s="5" t="s">
        <v>93</v>
      </c>
      <c r="C163" s="60"/>
      <c r="D163" s="60" t="e">
        <f t="shared" ref="D163:H163" si="29">(D64+D71)*100/D63</f>
        <v>#REF!</v>
      </c>
      <c r="E163" s="108">
        <v>39.788417909527894</v>
      </c>
      <c r="F163" s="108">
        <v>55.830058023006352</v>
      </c>
      <c r="G163" s="108">
        <v>46.170822776154083</v>
      </c>
      <c r="H163" s="108">
        <v>58.304608757506927</v>
      </c>
      <c r="I163" s="111">
        <v>41.111455468246191</v>
      </c>
    </row>
    <row r="164" spans="2:9" x14ac:dyDescent="0.25">
      <c r="B164" s="5" t="s">
        <v>102</v>
      </c>
      <c r="C164" s="62"/>
      <c r="D164" s="116" t="e">
        <f>D20/(#REF!/1000000)</f>
        <v>#REF!</v>
      </c>
      <c r="E164" s="116">
        <v>12.686675422559953</v>
      </c>
      <c r="F164" s="116">
        <v>8.6417119286439608</v>
      </c>
      <c r="G164" s="116">
        <v>6.002063002839324</v>
      </c>
      <c r="H164" s="116">
        <v>3.7964653285239933</v>
      </c>
      <c r="I164" s="117">
        <v>6.2906225905754551</v>
      </c>
    </row>
    <row r="165" spans="2:9" x14ac:dyDescent="0.25">
      <c r="B165" s="26" t="s">
        <v>103</v>
      </c>
      <c r="C165" s="65"/>
      <c r="D165" s="118" t="e">
        <f t="shared" ref="D165:G165" si="30">(D64+D71)/D20</f>
        <v>#REF!</v>
      </c>
      <c r="E165" s="118">
        <v>1.1498585495883507</v>
      </c>
      <c r="F165" s="118">
        <v>1.9665567848498378</v>
      </c>
      <c r="G165" s="118">
        <v>1.754789144302638</v>
      </c>
      <c r="H165" s="118">
        <v>2.9048874100766766</v>
      </c>
      <c r="I165" s="119">
        <v>1.3579155908662832</v>
      </c>
    </row>
    <row r="166" spans="2:9" x14ac:dyDescent="0.25">
      <c r="H166" s="1"/>
      <c r="I166" s="1"/>
    </row>
    <row r="167" spans="2:9" x14ac:dyDescent="0.25">
      <c r="H167" s="1"/>
      <c r="I167" s="1"/>
    </row>
    <row r="168" spans="2:9" x14ac:dyDescent="0.25">
      <c r="B168" s="27" t="s">
        <v>45</v>
      </c>
      <c r="C168" s="28"/>
      <c r="D168" s="28"/>
      <c r="E168" s="28"/>
      <c r="F168" s="28"/>
      <c r="G168" s="28"/>
      <c r="H168" s="28"/>
      <c r="I168" s="99"/>
    </row>
    <row r="169" spans="2:9" x14ac:dyDescent="0.25">
      <c r="B169" s="29" t="s">
        <v>59</v>
      </c>
      <c r="C169" s="30"/>
      <c r="D169" s="30"/>
      <c r="E169" s="30"/>
      <c r="F169" s="30"/>
      <c r="G169" s="30"/>
      <c r="H169" s="30"/>
      <c r="I169" s="100"/>
    </row>
    <row r="170" spans="2:9" x14ac:dyDescent="0.25">
      <c r="B170" s="29" t="s">
        <v>46</v>
      </c>
      <c r="C170" s="30"/>
      <c r="D170" s="30"/>
      <c r="E170" s="30"/>
      <c r="F170" s="30"/>
      <c r="G170" s="30"/>
      <c r="H170" s="30"/>
      <c r="I170" s="100"/>
    </row>
    <row r="171" spans="2:9" x14ac:dyDescent="0.25">
      <c r="B171" s="29" t="s">
        <v>50</v>
      </c>
      <c r="C171" s="30"/>
      <c r="D171" s="30"/>
      <c r="E171" s="30"/>
      <c r="F171" s="30"/>
      <c r="G171" s="30"/>
      <c r="H171" s="30"/>
      <c r="I171" s="100"/>
    </row>
    <row r="172" spans="2:9" x14ac:dyDescent="0.25">
      <c r="B172" s="29" t="s">
        <v>94</v>
      </c>
      <c r="C172" s="30"/>
      <c r="D172" s="30"/>
      <c r="E172" s="30"/>
      <c r="F172" s="30"/>
      <c r="G172" s="30"/>
      <c r="H172" s="30"/>
      <c r="I172" s="100"/>
    </row>
    <row r="173" spans="2:9" x14ac:dyDescent="0.25">
      <c r="B173" s="29" t="s">
        <v>95</v>
      </c>
      <c r="C173" s="30"/>
      <c r="D173" s="30"/>
      <c r="E173" s="30"/>
      <c r="F173" s="30"/>
      <c r="G173" s="30"/>
      <c r="H173" s="30"/>
      <c r="I173" s="100"/>
    </row>
    <row r="174" spans="2:9" x14ac:dyDescent="0.25">
      <c r="B174" s="29" t="s">
        <v>47</v>
      </c>
      <c r="C174" s="30"/>
      <c r="D174" s="30"/>
      <c r="E174" s="30"/>
      <c r="F174" s="30"/>
      <c r="G174" s="30"/>
      <c r="H174" s="30"/>
      <c r="I174" s="100"/>
    </row>
    <row r="175" spans="2:9" x14ac:dyDescent="0.25">
      <c r="B175" s="29" t="s">
        <v>96</v>
      </c>
      <c r="C175" s="30"/>
      <c r="D175" s="30"/>
      <c r="E175" s="30"/>
      <c r="F175" s="30"/>
      <c r="G175" s="30"/>
      <c r="H175" s="30"/>
      <c r="I175" s="100"/>
    </row>
    <row r="176" spans="2:9" x14ac:dyDescent="0.25">
      <c r="B176" s="29" t="s">
        <v>97</v>
      </c>
      <c r="C176" s="30"/>
      <c r="D176" s="30"/>
      <c r="E176" s="30"/>
      <c r="F176" s="30"/>
      <c r="G176" s="30"/>
      <c r="H176" s="30"/>
      <c r="I176" s="100"/>
    </row>
    <row r="177" spans="2:9" x14ac:dyDescent="0.25">
      <c r="B177" s="29" t="s">
        <v>98</v>
      </c>
      <c r="C177" s="30"/>
      <c r="D177" s="30"/>
      <c r="E177" s="30"/>
      <c r="F177" s="30"/>
      <c r="G177" s="30"/>
      <c r="H177" s="30"/>
      <c r="I177" s="100"/>
    </row>
    <row r="178" spans="2:9" x14ac:dyDescent="0.25">
      <c r="B178" s="31" t="s">
        <v>99</v>
      </c>
      <c r="C178" s="32"/>
      <c r="D178" s="32"/>
      <c r="E178" s="32"/>
      <c r="F178" s="32"/>
      <c r="G178" s="32"/>
      <c r="H178" s="32"/>
      <c r="I178" s="101"/>
    </row>
  </sheetData>
  <pageMargins left="0.78740157499999996" right="0.78740157499999996" top="0.984251969" bottom="0.984251969" header="0.3" footer="0.3"/>
  <pageSetup paperSize="9" orientation="portrait" r:id="rId1"/>
  <ignoredErrors>
    <ignoredError sqref="D15" emptyCellReference="1"/>
    <ignoredError sqref="C57:D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8BB58-DAD3-F744-8B05-195AE8379F46}">
  <dimension ref="B5:M75"/>
  <sheetViews>
    <sheetView showGridLines="0" topLeftCell="A16" workbookViewId="0">
      <selection activeCell="C32" sqref="C32"/>
    </sheetView>
  </sheetViews>
  <sheetFormatPr baseColWidth="10" defaultRowHeight="15" x14ac:dyDescent="0.25"/>
  <sheetData>
    <row r="5" spans="2:6" x14ac:dyDescent="0.25">
      <c r="B5" s="120" t="s">
        <v>104</v>
      </c>
      <c r="F5" s="128" t="s">
        <v>113</v>
      </c>
    </row>
    <row r="7" spans="2:6" x14ac:dyDescent="0.25">
      <c r="C7" s="121" t="s">
        <v>111</v>
      </c>
      <c r="D7" s="121" t="s">
        <v>112</v>
      </c>
      <c r="E7" s="121" t="s">
        <v>114</v>
      </c>
    </row>
    <row r="8" spans="2:6" x14ac:dyDescent="0.25">
      <c r="B8" t="s">
        <v>105</v>
      </c>
      <c r="C8" s="123">
        <v>5956</v>
      </c>
      <c r="D8" s="123">
        <v>6340</v>
      </c>
      <c r="E8" s="124">
        <f>SUM(C8:D8)</f>
        <v>12296</v>
      </c>
    </row>
    <row r="9" spans="2:6" x14ac:dyDescent="0.25">
      <c r="B9" t="s">
        <v>106</v>
      </c>
      <c r="C9" s="123">
        <v>6358</v>
      </c>
      <c r="D9" s="123">
        <v>6370</v>
      </c>
      <c r="E9" s="124">
        <f t="shared" ref="E9:E13" si="0">SUM(C9:D9)</f>
        <v>12728</v>
      </c>
    </row>
    <row r="10" spans="2:6" x14ac:dyDescent="0.25">
      <c r="B10" t="s">
        <v>107</v>
      </c>
      <c r="C10" s="123">
        <v>6814</v>
      </c>
      <c r="D10" s="123">
        <v>6936</v>
      </c>
      <c r="E10" s="124">
        <f t="shared" si="0"/>
        <v>13750</v>
      </c>
    </row>
    <row r="11" spans="2:6" x14ac:dyDescent="0.25">
      <c r="B11" t="s">
        <v>108</v>
      </c>
      <c r="C11" s="123">
        <v>7044</v>
      </c>
      <c r="D11" s="123">
        <v>6970</v>
      </c>
      <c r="E11" s="124">
        <f t="shared" si="0"/>
        <v>14014</v>
      </c>
    </row>
    <row r="12" spans="2:6" x14ac:dyDescent="0.25">
      <c r="B12" t="s">
        <v>109</v>
      </c>
      <c r="C12" s="123"/>
      <c r="D12" s="123"/>
      <c r="E12" s="124">
        <f t="shared" si="0"/>
        <v>0</v>
      </c>
    </row>
    <row r="13" spans="2:6" x14ac:dyDescent="0.25">
      <c r="B13" t="s">
        <v>110</v>
      </c>
      <c r="C13" s="123"/>
      <c r="D13" s="123"/>
      <c r="E13" s="124">
        <f t="shared" si="0"/>
        <v>0</v>
      </c>
    </row>
    <row r="16" spans="2:6" x14ac:dyDescent="0.25">
      <c r="B16" s="120" t="s">
        <v>127</v>
      </c>
      <c r="F16" s="128" t="s">
        <v>129</v>
      </c>
    </row>
    <row r="17" spans="2:13" x14ac:dyDescent="0.25">
      <c r="C17" s="121" t="s">
        <v>111</v>
      </c>
      <c r="D17" s="121" t="s">
        <v>112</v>
      </c>
    </row>
    <row r="18" spans="2:13" x14ac:dyDescent="0.25">
      <c r="B18" t="s">
        <v>105</v>
      </c>
    </row>
    <row r="19" spans="2:13" x14ac:dyDescent="0.25">
      <c r="B19" t="s">
        <v>106</v>
      </c>
      <c r="C19" s="126">
        <v>0.67</v>
      </c>
      <c r="D19" s="126">
        <v>0.67</v>
      </c>
    </row>
    <row r="20" spans="2:13" x14ac:dyDescent="0.25">
      <c r="B20" t="s">
        <v>107</v>
      </c>
      <c r="C20" s="126">
        <v>0.63</v>
      </c>
      <c r="D20" s="126">
        <v>0.63</v>
      </c>
    </row>
    <row r="21" spans="2:13" x14ac:dyDescent="0.25">
      <c r="B21" t="s">
        <v>108</v>
      </c>
      <c r="C21" s="126">
        <v>0.62</v>
      </c>
      <c r="D21" s="126">
        <v>0.62</v>
      </c>
    </row>
    <row r="22" spans="2:13" x14ac:dyDescent="0.25">
      <c r="B22" t="s">
        <v>109</v>
      </c>
    </row>
    <row r="23" spans="2:13" x14ac:dyDescent="0.25">
      <c r="B23" t="s">
        <v>110</v>
      </c>
    </row>
    <row r="25" spans="2:13" x14ac:dyDescent="0.25">
      <c r="B25" s="120" t="s">
        <v>115</v>
      </c>
      <c r="F25" s="128" t="s">
        <v>123</v>
      </c>
      <c r="I25" s="120" t="s">
        <v>124</v>
      </c>
      <c r="L25" s="129" t="s">
        <v>123</v>
      </c>
      <c r="M25" s="128"/>
    </row>
    <row r="27" spans="2:13" x14ac:dyDescent="0.25">
      <c r="C27" s="121" t="s">
        <v>111</v>
      </c>
      <c r="D27" s="121" t="s">
        <v>112</v>
      </c>
      <c r="E27" s="121" t="s">
        <v>114</v>
      </c>
      <c r="J27" s="121" t="s">
        <v>111</v>
      </c>
      <c r="K27" s="121" t="s">
        <v>112</v>
      </c>
      <c r="L27" s="121" t="s">
        <v>114</v>
      </c>
    </row>
    <row r="28" spans="2:13" x14ac:dyDescent="0.25">
      <c r="B28" t="s">
        <v>105</v>
      </c>
      <c r="C28" s="123">
        <v>5523</v>
      </c>
      <c r="D28" s="123">
        <v>5859</v>
      </c>
      <c r="E28" s="124">
        <f>SUM(C28:D28)</f>
        <v>11382</v>
      </c>
      <c r="I28" t="s">
        <v>105</v>
      </c>
      <c r="J28" s="123">
        <v>1240</v>
      </c>
      <c r="K28" s="123">
        <v>865</v>
      </c>
      <c r="L28" s="124">
        <f>SUM(J28:K28)</f>
        <v>2105</v>
      </c>
    </row>
    <row r="29" spans="2:13" x14ac:dyDescent="0.25">
      <c r="B29" t="s">
        <v>106</v>
      </c>
      <c r="C29" s="123">
        <v>5396</v>
      </c>
      <c r="D29" s="123">
        <v>5701</v>
      </c>
      <c r="E29" s="124">
        <f t="shared" ref="E29:E33" si="1">SUM(C29:D29)</f>
        <v>11097</v>
      </c>
      <c r="I29" t="s">
        <v>106</v>
      </c>
      <c r="J29" s="123">
        <v>1338</v>
      </c>
      <c r="K29" s="123">
        <v>967</v>
      </c>
      <c r="L29" s="124">
        <f t="shared" ref="L29:L33" si="2">SUM(J29:K29)</f>
        <v>2305</v>
      </c>
    </row>
    <row r="30" spans="2:13" x14ac:dyDescent="0.25">
      <c r="B30" t="s">
        <v>107</v>
      </c>
      <c r="C30" s="123">
        <v>5545</v>
      </c>
      <c r="D30" s="123">
        <v>5601</v>
      </c>
      <c r="E30" s="124">
        <f t="shared" si="1"/>
        <v>11146</v>
      </c>
      <c r="I30" t="s">
        <v>107</v>
      </c>
      <c r="J30" s="123">
        <v>1278</v>
      </c>
      <c r="K30" s="123">
        <v>1106</v>
      </c>
      <c r="L30" s="124">
        <f t="shared" si="2"/>
        <v>2384</v>
      </c>
    </row>
    <row r="31" spans="2:13" x14ac:dyDescent="0.25">
      <c r="B31" t="s">
        <v>108</v>
      </c>
      <c r="C31" s="123">
        <v>6015</v>
      </c>
      <c r="D31" s="123">
        <v>5815</v>
      </c>
      <c r="E31" s="124">
        <f t="shared" si="1"/>
        <v>11830</v>
      </c>
      <c r="I31" t="s">
        <v>108</v>
      </c>
      <c r="J31" s="123">
        <v>1288</v>
      </c>
      <c r="K31" s="123">
        <v>1208</v>
      </c>
      <c r="L31" s="124">
        <f t="shared" si="2"/>
        <v>2496</v>
      </c>
    </row>
    <row r="32" spans="2:13" x14ac:dyDescent="0.25">
      <c r="B32" t="s">
        <v>109</v>
      </c>
      <c r="C32" s="123"/>
      <c r="D32" s="123"/>
      <c r="E32" s="124">
        <f t="shared" si="1"/>
        <v>0</v>
      </c>
      <c r="I32" t="s">
        <v>109</v>
      </c>
      <c r="J32" s="123"/>
      <c r="K32" s="123"/>
      <c r="L32" s="124">
        <f t="shared" si="2"/>
        <v>0</v>
      </c>
    </row>
    <row r="33" spans="2:13" x14ac:dyDescent="0.25">
      <c r="B33" t="s">
        <v>110</v>
      </c>
      <c r="C33" s="123"/>
      <c r="D33" s="123"/>
      <c r="E33" s="124">
        <f t="shared" si="1"/>
        <v>0</v>
      </c>
      <c r="I33" t="s">
        <v>110</v>
      </c>
      <c r="J33" s="123"/>
      <c r="K33" s="123"/>
      <c r="L33" s="124">
        <f t="shared" si="2"/>
        <v>0</v>
      </c>
    </row>
    <row r="36" spans="2:13" s="120" customFormat="1" x14ac:dyDescent="0.25">
      <c r="B36" s="120" t="s">
        <v>121</v>
      </c>
      <c r="F36" s="128" t="s">
        <v>122</v>
      </c>
      <c r="I36" s="120" t="s">
        <v>120</v>
      </c>
      <c r="L36" s="128" t="s">
        <v>122</v>
      </c>
    </row>
    <row r="38" spans="2:13" x14ac:dyDescent="0.25">
      <c r="C38" s="121" t="s">
        <v>111</v>
      </c>
      <c r="E38" s="121" t="s">
        <v>112</v>
      </c>
    </row>
    <row r="39" spans="2:13" x14ac:dyDescent="0.25">
      <c r="C39" s="122" t="s">
        <v>116</v>
      </c>
      <c r="D39" s="122" t="s">
        <v>117</v>
      </c>
      <c r="E39" s="122" t="s">
        <v>116</v>
      </c>
      <c r="F39" s="122" t="s">
        <v>117</v>
      </c>
      <c r="J39" s="121" t="s">
        <v>111</v>
      </c>
      <c r="K39" s="121" t="s">
        <v>112</v>
      </c>
    </row>
    <row r="40" spans="2:13" x14ac:dyDescent="0.25">
      <c r="B40" t="s">
        <v>105</v>
      </c>
      <c r="C40">
        <v>89</v>
      </c>
      <c r="D40">
        <v>45</v>
      </c>
      <c r="E40">
        <v>88</v>
      </c>
      <c r="F40">
        <v>50</v>
      </c>
      <c r="I40" t="s">
        <v>105</v>
      </c>
      <c r="J40">
        <v>41</v>
      </c>
      <c r="K40">
        <v>49</v>
      </c>
    </row>
    <row r="41" spans="2:13" x14ac:dyDescent="0.25">
      <c r="B41" t="s">
        <v>106</v>
      </c>
      <c r="C41">
        <v>90</v>
      </c>
      <c r="D41">
        <v>43</v>
      </c>
      <c r="E41">
        <v>87</v>
      </c>
      <c r="F41">
        <v>36</v>
      </c>
      <c r="I41" t="s">
        <v>106</v>
      </c>
      <c r="J41">
        <v>43</v>
      </c>
      <c r="K41">
        <v>32</v>
      </c>
    </row>
    <row r="42" spans="2:13" x14ac:dyDescent="0.25">
      <c r="B42" t="s">
        <v>107</v>
      </c>
      <c r="C42">
        <v>95</v>
      </c>
      <c r="D42">
        <v>33</v>
      </c>
      <c r="E42">
        <v>74</v>
      </c>
      <c r="F42">
        <v>45</v>
      </c>
      <c r="I42" t="s">
        <v>107</v>
      </c>
      <c r="J42">
        <v>43</v>
      </c>
      <c r="K42">
        <v>39</v>
      </c>
    </row>
    <row r="43" spans="2:13" x14ac:dyDescent="0.25">
      <c r="B43" t="s">
        <v>108</v>
      </c>
      <c r="C43">
        <v>90</v>
      </c>
      <c r="D43">
        <v>39</v>
      </c>
      <c r="E43">
        <v>81</v>
      </c>
      <c r="F43">
        <v>50</v>
      </c>
      <c r="I43" t="s">
        <v>108</v>
      </c>
      <c r="J43">
        <v>34</v>
      </c>
      <c r="K43">
        <v>42</v>
      </c>
    </row>
    <row r="44" spans="2:13" x14ac:dyDescent="0.25">
      <c r="B44" t="s">
        <v>109</v>
      </c>
      <c r="I44" t="s">
        <v>109</v>
      </c>
    </row>
    <row r="45" spans="2:13" x14ac:dyDescent="0.25">
      <c r="B45" t="s">
        <v>110</v>
      </c>
      <c r="I45" t="s">
        <v>110</v>
      </c>
    </row>
    <row r="48" spans="2:13" s="120" customFormat="1" x14ac:dyDescent="0.25">
      <c r="B48" s="120" t="s">
        <v>118</v>
      </c>
      <c r="F48" s="128" t="s">
        <v>125</v>
      </c>
      <c r="I48" s="120" t="s">
        <v>126</v>
      </c>
      <c r="L48" s="129" t="s">
        <v>125</v>
      </c>
      <c r="M48" s="128"/>
    </row>
    <row r="50" spans="2:12" x14ac:dyDescent="0.25">
      <c r="C50" s="121" t="s">
        <v>111</v>
      </c>
      <c r="D50" s="121" t="s">
        <v>112</v>
      </c>
      <c r="E50" s="121" t="s">
        <v>114</v>
      </c>
      <c r="J50" s="121" t="s">
        <v>111</v>
      </c>
      <c r="K50" s="121" t="s">
        <v>112</v>
      </c>
      <c r="L50" s="121" t="s">
        <v>114</v>
      </c>
    </row>
    <row r="51" spans="2:12" x14ac:dyDescent="0.25">
      <c r="B51" t="s">
        <v>105</v>
      </c>
      <c r="C51" s="123">
        <v>442489</v>
      </c>
      <c r="D51" s="123">
        <v>435956</v>
      </c>
      <c r="E51" s="123">
        <f>C51+D51</f>
        <v>878445</v>
      </c>
      <c r="I51" t="s">
        <v>105</v>
      </c>
      <c r="J51" s="123">
        <v>50958</v>
      </c>
      <c r="K51" s="123">
        <v>42049</v>
      </c>
      <c r="L51" s="123">
        <f>J51+K51</f>
        <v>93007</v>
      </c>
    </row>
    <row r="52" spans="2:12" x14ac:dyDescent="0.25">
      <c r="B52" t="s">
        <v>106</v>
      </c>
      <c r="C52" s="123">
        <v>438160</v>
      </c>
      <c r="D52" s="123">
        <v>375097</v>
      </c>
      <c r="E52" s="123">
        <f t="shared" ref="E52:E54" si="3">C52+D52</f>
        <v>813257</v>
      </c>
      <c r="I52" t="s">
        <v>106</v>
      </c>
      <c r="J52" s="123">
        <v>58191</v>
      </c>
      <c r="K52" s="123">
        <v>30831</v>
      </c>
      <c r="L52" s="123">
        <f t="shared" ref="L52:L54" si="4">J52+K52</f>
        <v>89022</v>
      </c>
    </row>
    <row r="53" spans="2:12" x14ac:dyDescent="0.25">
      <c r="B53" t="s">
        <v>107</v>
      </c>
      <c r="C53" s="123">
        <v>462309</v>
      </c>
      <c r="D53" s="123">
        <v>329889</v>
      </c>
      <c r="E53" s="123">
        <f t="shared" si="3"/>
        <v>792198</v>
      </c>
      <c r="I53" t="s">
        <v>107</v>
      </c>
      <c r="J53" s="123">
        <v>54959</v>
      </c>
      <c r="K53" s="123">
        <v>43433</v>
      </c>
      <c r="L53" s="123">
        <f t="shared" si="4"/>
        <v>98392</v>
      </c>
    </row>
    <row r="54" spans="2:12" x14ac:dyDescent="0.25">
      <c r="B54" t="s">
        <v>108</v>
      </c>
      <c r="C54" s="123">
        <v>470519</v>
      </c>
      <c r="D54" s="123">
        <v>378948</v>
      </c>
      <c r="E54" s="123">
        <f t="shared" si="3"/>
        <v>849467</v>
      </c>
      <c r="I54" t="s">
        <v>108</v>
      </c>
      <c r="J54" s="123">
        <v>44277</v>
      </c>
      <c r="K54" s="123">
        <v>58020</v>
      </c>
      <c r="L54" s="123">
        <f t="shared" si="4"/>
        <v>102297</v>
      </c>
    </row>
    <row r="55" spans="2:12" x14ac:dyDescent="0.25">
      <c r="B55" t="s">
        <v>109</v>
      </c>
      <c r="I55" t="s">
        <v>109</v>
      </c>
    </row>
    <row r="56" spans="2:12" x14ac:dyDescent="0.25">
      <c r="B56" t="s">
        <v>110</v>
      </c>
      <c r="I56" t="s">
        <v>110</v>
      </c>
    </row>
    <row r="59" spans="2:12" x14ac:dyDescent="0.25">
      <c r="B59" s="120" t="s">
        <v>119</v>
      </c>
      <c r="F59" s="128" t="s">
        <v>125</v>
      </c>
    </row>
    <row r="60" spans="2:12" x14ac:dyDescent="0.25">
      <c r="C60" s="121" t="s">
        <v>111</v>
      </c>
      <c r="D60" s="121" t="s">
        <v>112</v>
      </c>
      <c r="E60" s="121" t="s">
        <v>114</v>
      </c>
    </row>
    <row r="61" spans="2:12" x14ac:dyDescent="0.25">
      <c r="B61" t="s">
        <v>105</v>
      </c>
      <c r="C61" s="123">
        <v>50837</v>
      </c>
      <c r="D61" s="123">
        <v>44467</v>
      </c>
      <c r="E61" s="123">
        <f>SUM(C61:D61)</f>
        <v>95304</v>
      </c>
    </row>
    <row r="62" spans="2:12" x14ac:dyDescent="0.25">
      <c r="B62" t="s">
        <v>106</v>
      </c>
      <c r="C62" s="123">
        <v>50273</v>
      </c>
      <c r="D62" s="123">
        <v>36060</v>
      </c>
      <c r="E62" s="123">
        <f t="shared" ref="E62:E64" si="5">SUM(C62:D62)</f>
        <v>86333</v>
      </c>
    </row>
    <row r="63" spans="2:12" x14ac:dyDescent="0.25">
      <c r="B63" t="s">
        <v>107</v>
      </c>
      <c r="C63" s="123">
        <v>44974</v>
      </c>
      <c r="D63" s="123">
        <v>32646</v>
      </c>
      <c r="E63" s="123">
        <f t="shared" si="5"/>
        <v>77620</v>
      </c>
    </row>
    <row r="64" spans="2:12" x14ac:dyDescent="0.25">
      <c r="B64" t="s">
        <v>108</v>
      </c>
      <c r="C64" s="123">
        <v>50416</v>
      </c>
      <c r="D64" s="123">
        <v>38797</v>
      </c>
      <c r="E64" s="123">
        <f t="shared" si="5"/>
        <v>89213</v>
      </c>
    </row>
    <row r="65" spans="2:6" x14ac:dyDescent="0.25">
      <c r="B65" t="s">
        <v>109</v>
      </c>
    </row>
    <row r="66" spans="2:6" x14ac:dyDescent="0.25">
      <c r="B66" t="s">
        <v>110</v>
      </c>
    </row>
    <row r="68" spans="2:6" x14ac:dyDescent="0.25">
      <c r="B68" s="120" t="s">
        <v>128</v>
      </c>
      <c r="F68" s="128" t="s">
        <v>129</v>
      </c>
    </row>
    <row r="69" spans="2:6" x14ac:dyDescent="0.25">
      <c r="C69" s="121" t="s">
        <v>111</v>
      </c>
      <c r="D69" s="121" t="s">
        <v>112</v>
      </c>
      <c r="E69" s="121" t="s">
        <v>114</v>
      </c>
    </row>
    <row r="70" spans="2:6" x14ac:dyDescent="0.25">
      <c r="B70" t="s">
        <v>105</v>
      </c>
      <c r="C70" s="127">
        <f>C61/(C51+J51)</f>
        <v>0.10302423563219555</v>
      </c>
      <c r="D70" s="125">
        <f>D61/(D51+K51)</f>
        <v>9.3026223575067207E-2</v>
      </c>
      <c r="E70" s="125">
        <f>E61/(E51+L51)</f>
        <v>9.8104692769174384E-2</v>
      </c>
    </row>
    <row r="71" spans="2:6" x14ac:dyDescent="0.25">
      <c r="B71" t="s">
        <v>106</v>
      </c>
      <c r="C71" s="127">
        <f t="shared" ref="C71:E73" si="6">C62/(C52+J52)</f>
        <v>0.1012851792380795</v>
      </c>
      <c r="D71" s="125">
        <f t="shared" si="6"/>
        <v>8.8833487712106585E-2</v>
      </c>
      <c r="E71" s="125">
        <f t="shared" si="6"/>
        <v>9.5683264267482679E-2</v>
      </c>
    </row>
    <row r="72" spans="2:6" x14ac:dyDescent="0.25">
      <c r="B72" t="s">
        <v>107</v>
      </c>
      <c r="C72" s="127">
        <f t="shared" si="6"/>
        <v>8.6945258550693252E-2</v>
      </c>
      <c r="D72" s="125">
        <f t="shared" si="6"/>
        <v>8.7447297507245753E-2</v>
      </c>
      <c r="E72" s="125">
        <f t="shared" si="6"/>
        <v>8.7155705768086331E-2</v>
      </c>
    </row>
    <row r="73" spans="2:6" x14ac:dyDescent="0.25">
      <c r="B73" t="s">
        <v>108</v>
      </c>
      <c r="C73" s="127">
        <f t="shared" si="6"/>
        <v>9.7933938880643986E-2</v>
      </c>
      <c r="D73" s="125">
        <f t="shared" si="6"/>
        <v>8.8786821918309805E-2</v>
      </c>
      <c r="E73" s="125">
        <f t="shared" si="6"/>
        <v>9.3734371125615168E-2</v>
      </c>
    </row>
    <row r="74" spans="2:6" x14ac:dyDescent="0.25">
      <c r="B74" t="s">
        <v>109</v>
      </c>
    </row>
    <row r="75" spans="2:6" x14ac:dyDescent="0.25">
      <c r="B7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 données &amp; ratios</vt:lpstr>
      <vt:lpstr>Indicateurs 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FP-Consulting</dc:creator>
  <cp:lastModifiedBy>Anouar Hassoune</cp:lastModifiedBy>
  <cp:lastPrinted>2020-03-02T17:53:09Z</cp:lastPrinted>
  <dcterms:created xsi:type="dcterms:W3CDTF">2013-02-17T08:35:08Z</dcterms:created>
  <dcterms:modified xsi:type="dcterms:W3CDTF">2021-07-06T14:42:41Z</dcterms:modified>
</cp:coreProperties>
</file>